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9.xml" ContentType="application/vnd.openxmlformats-officedocument.drawing+xml"/>
  <Override PartName="/xl/embeddings/oleObject11.bin" ContentType="application/vnd.openxmlformats-officedocument.oleObject"/>
  <Override PartName="/xl/drawings/drawing10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11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drawings/drawing12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drawings/drawing13.xml" ContentType="application/vnd.openxmlformats-officedocument.drawing+xml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drawings/drawing14.xml" ContentType="application/vnd.openxmlformats-officedocument.drawing+xml"/>
  <Override PartName="/xl/embeddings/oleObject2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RC\Spring\Spring2018\HLe_SP2018\"/>
    </mc:Choice>
  </mc:AlternateContent>
  <bookViews>
    <workbookView xWindow="0" yWindow="0" windowWidth="19560" windowHeight="8340" firstSheet="3" activeTab="3"/>
  </bookViews>
  <sheets>
    <sheet name="Chapter_3" sheetId="1" r:id="rId1"/>
    <sheet name="Chapter_5_4_counting" sheetId="4" r:id="rId2"/>
    <sheet name="Chapter_6_1_discrete" sheetId="5" r:id="rId3"/>
    <sheet name="Binomial Distribution" sheetId="7" r:id="rId4"/>
    <sheet name="Continuous_uniform" sheetId="6" r:id="rId5"/>
    <sheet name="Chapter 7.1 and 7.2 normal" sheetId="2" r:id="rId6"/>
    <sheet name="Chapter_7_3_CLT_xbar" sheetId="3" r:id="rId7"/>
    <sheet name="chapter 7.4 CLT prop" sheetId="11" r:id="rId8"/>
    <sheet name="Chapter 8.1 Sample Size for Mu" sheetId="10" r:id="rId9"/>
    <sheet name="Chapter 8.2 CI(mu)" sheetId="9" r:id="rId10"/>
    <sheet name="Chapter 8.3 CI(p) and samsize" sheetId="12" r:id="rId11"/>
    <sheet name="Chapter 8.4 CI(sigma)" sheetId="13" r:id="rId12"/>
    <sheet name="Ch 9.3 HT mu" sheetId="14" r:id="rId13"/>
    <sheet name="Ch 9.4 HT p" sheetId="16" r:id="rId14"/>
    <sheet name="Ch10.3 CI(mu1-mu2)" sheetId="17" r:id="rId15"/>
    <sheet name="CH11.3 HT(mu1-mu2)" sheetId="18" r:id="rId16"/>
    <sheet name="Ch10.1 CI(mu1-mu2)" sheetId="19" r:id="rId17"/>
    <sheet name="CH11.1 HT(mu1-mu2)" sheetId="20" r:id="rId18"/>
    <sheet name="CH10.2 CI(p1-p2)" sheetId="21" r:id="rId19"/>
    <sheet name="CH11.2 HT(p1-p2)" sheetId="22" r:id="rId20"/>
    <sheet name="Correlation 4.1" sheetId="23" r:id="rId21"/>
    <sheet name="Regression" sheetId="29" r:id="rId22"/>
    <sheet name="Multinomial 12.1" sheetId="26" r:id="rId23"/>
    <sheet name="Contingency Tables 12.2" sheetId="27" r:id="rId24"/>
    <sheet name="Expected 12.2" sheetId="31" r:id="rId25"/>
    <sheet name="Test Stat 12.2" sheetId="32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C12" i="31" l="1"/>
  <c r="E32" i="20" l="1"/>
  <c r="D22" i="29" l="1"/>
  <c r="D21" i="29"/>
  <c r="D12" i="29"/>
  <c r="D8" i="29"/>
  <c r="D26" i="29" s="1"/>
  <c r="D6" i="29"/>
  <c r="D15" i="29" l="1"/>
  <c r="S3" i="27" l="1"/>
  <c r="N1" i="27"/>
  <c r="N2" i="27"/>
  <c r="N3" i="27" l="1"/>
  <c r="S4" i="27" s="1"/>
  <c r="S5" i="27" s="1"/>
  <c r="U30" i="27" l="1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V28" i="27"/>
  <c r="V27" i="27"/>
  <c r="V26" i="27"/>
  <c r="V25" i="27"/>
  <c r="V24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V10" i="27"/>
  <c r="V9" i="27"/>
  <c r="J17" i="26"/>
  <c r="J16" i="26"/>
  <c r="C32" i="26"/>
  <c r="B32" i="26"/>
  <c r="D27" i="26" l="1"/>
  <c r="F27" i="26" s="1"/>
  <c r="D23" i="26"/>
  <c r="F23" i="26" s="1"/>
  <c r="D19" i="26"/>
  <c r="F19" i="26" s="1"/>
  <c r="D15" i="26"/>
  <c r="F15" i="26" s="1"/>
  <c r="D11" i="26"/>
  <c r="D26" i="26"/>
  <c r="F26" i="26" s="1"/>
  <c r="D22" i="26"/>
  <c r="F22" i="26" s="1"/>
  <c r="D18" i="26"/>
  <c r="F18" i="26" s="1"/>
  <c r="D14" i="26"/>
  <c r="D10" i="26"/>
  <c r="D29" i="26"/>
  <c r="F29" i="26" s="1"/>
  <c r="D25" i="26"/>
  <c r="F25" i="26" s="1"/>
  <c r="D21" i="26"/>
  <c r="F21" i="26" s="1"/>
  <c r="D17" i="26"/>
  <c r="F17" i="26" s="1"/>
  <c r="D13" i="26"/>
  <c r="D28" i="26"/>
  <c r="F28" i="26" s="1"/>
  <c r="D24" i="26"/>
  <c r="F24" i="26" s="1"/>
  <c r="D20" i="26"/>
  <c r="F20" i="26" s="1"/>
  <c r="D16" i="26"/>
  <c r="F16" i="26" s="1"/>
  <c r="D12" i="26"/>
  <c r="V17" i="31"/>
  <c r="V17" i="32"/>
  <c r="V21" i="32"/>
  <c r="V21" i="31"/>
  <c r="V25" i="31"/>
  <c r="V25" i="32"/>
  <c r="F30" i="32"/>
  <c r="F30" i="31"/>
  <c r="J30" i="32"/>
  <c r="J30" i="31"/>
  <c r="N30" i="32"/>
  <c r="N30" i="31"/>
  <c r="R30" i="32"/>
  <c r="R30" i="31"/>
  <c r="V18" i="31"/>
  <c r="V18" i="32"/>
  <c r="V22" i="31"/>
  <c r="V22" i="32"/>
  <c r="V26" i="31"/>
  <c r="V26" i="32"/>
  <c r="G30" i="31"/>
  <c r="G30" i="32"/>
  <c r="K30" i="31"/>
  <c r="K30" i="32"/>
  <c r="O30" i="31"/>
  <c r="O30" i="32"/>
  <c r="S30" i="31"/>
  <c r="S30" i="32"/>
  <c r="V19" i="32"/>
  <c r="V19" i="31"/>
  <c r="V23" i="32"/>
  <c r="V23" i="31"/>
  <c r="V27" i="32"/>
  <c r="V27" i="31"/>
  <c r="H30" i="32"/>
  <c r="H30" i="31"/>
  <c r="L30" i="32"/>
  <c r="L30" i="31"/>
  <c r="P30" i="32"/>
  <c r="P30" i="31"/>
  <c r="T30" i="32"/>
  <c r="T30" i="31"/>
  <c r="V16" i="32"/>
  <c r="V16" i="31"/>
  <c r="V20" i="32"/>
  <c r="V20" i="31"/>
  <c r="V24" i="32"/>
  <c r="V24" i="31"/>
  <c r="V28" i="32"/>
  <c r="V28" i="31"/>
  <c r="I30" i="32"/>
  <c r="I30" i="31"/>
  <c r="M30" i="32"/>
  <c r="M30" i="31"/>
  <c r="Q30" i="32"/>
  <c r="Q30" i="31"/>
  <c r="U30" i="32"/>
  <c r="U30" i="31"/>
  <c r="E30" i="32"/>
  <c r="E30" i="31"/>
  <c r="V13" i="31"/>
  <c r="V13" i="32"/>
  <c r="V15" i="32"/>
  <c r="V15" i="31"/>
  <c r="V12" i="32"/>
  <c r="V12" i="31"/>
  <c r="V14" i="31"/>
  <c r="V14" i="32"/>
  <c r="J18" i="26"/>
  <c r="V10" i="32"/>
  <c r="V10" i="31"/>
  <c r="C30" i="32"/>
  <c r="C30" i="31"/>
  <c r="V11" i="32"/>
  <c r="V11" i="31"/>
  <c r="D30" i="32"/>
  <c r="D30" i="31"/>
  <c r="V9" i="32"/>
  <c r="V9" i="31"/>
  <c r="B30" i="32"/>
  <c r="B30" i="31"/>
  <c r="V30" i="27"/>
  <c r="J29" i="29"/>
  <c r="V30" i="32" l="1"/>
  <c r="V30" i="31"/>
  <c r="B26" i="31" s="1"/>
  <c r="B26" i="32" s="1"/>
  <c r="J30" i="29"/>
  <c r="F11" i="26"/>
  <c r="D4" i="29"/>
  <c r="D4" i="23"/>
  <c r="B10" i="31" l="1"/>
  <c r="B10" i="32" s="1"/>
  <c r="E10" i="31"/>
  <c r="E10" i="32" s="1"/>
  <c r="L11" i="31"/>
  <c r="L11" i="32" s="1"/>
  <c r="J9" i="31"/>
  <c r="J9" i="32" s="1"/>
  <c r="N11" i="31"/>
  <c r="N11" i="32" s="1"/>
  <c r="T9" i="31"/>
  <c r="T9" i="32" s="1"/>
  <c r="B11" i="31"/>
  <c r="B11" i="32" s="1"/>
  <c r="C21" i="31"/>
  <c r="C21" i="32" s="1"/>
  <c r="H10" i="31"/>
  <c r="H10" i="32" s="1"/>
  <c r="G9" i="31"/>
  <c r="G9" i="32" s="1"/>
  <c r="C24" i="31"/>
  <c r="C24" i="32" s="1"/>
  <c r="I10" i="31"/>
  <c r="I10" i="32" s="1"/>
  <c r="U10" i="31"/>
  <c r="U10" i="32" s="1"/>
  <c r="L10" i="31"/>
  <c r="L10" i="32" s="1"/>
  <c r="U11" i="31"/>
  <c r="U11" i="32" s="1"/>
  <c r="G11" i="31"/>
  <c r="G11" i="32" s="1"/>
  <c r="T11" i="31"/>
  <c r="T11" i="32" s="1"/>
  <c r="B9" i="31"/>
  <c r="B9" i="32" s="1"/>
  <c r="O9" i="31"/>
  <c r="O9" i="32" s="1"/>
  <c r="C15" i="31"/>
  <c r="C15" i="32" s="1"/>
  <c r="C18" i="31"/>
  <c r="C18" i="32" s="1"/>
  <c r="C27" i="31"/>
  <c r="C27" i="32" s="1"/>
  <c r="D16" i="31"/>
  <c r="D16" i="32" s="1"/>
  <c r="D24" i="31"/>
  <c r="D24" i="32" s="1"/>
  <c r="B22" i="31"/>
  <c r="B22" i="32" s="1"/>
  <c r="B24" i="31"/>
  <c r="B24" i="32" s="1"/>
  <c r="C10" i="31"/>
  <c r="C10" i="32" s="1"/>
  <c r="F10" i="31"/>
  <c r="F10" i="32" s="1"/>
  <c r="S11" i="31"/>
  <c r="S11" i="32" s="1"/>
  <c r="K11" i="31"/>
  <c r="K11" i="32" s="1"/>
  <c r="M11" i="31"/>
  <c r="M11" i="32" s="1"/>
  <c r="F9" i="31"/>
  <c r="F9" i="32" s="1"/>
  <c r="R9" i="31"/>
  <c r="R9" i="32" s="1"/>
  <c r="D9" i="31"/>
  <c r="D9" i="32" s="1"/>
  <c r="C13" i="31"/>
  <c r="C13" i="32" s="1"/>
  <c r="C22" i="31"/>
  <c r="C22" i="32" s="1"/>
  <c r="C28" i="31"/>
  <c r="C28" i="32" s="1"/>
  <c r="D19" i="31"/>
  <c r="D19" i="32" s="1"/>
  <c r="D26" i="31"/>
  <c r="D26" i="32" s="1"/>
  <c r="B13" i="31"/>
  <c r="B13" i="32" s="1"/>
  <c r="B27" i="31"/>
  <c r="B27" i="32" s="1"/>
  <c r="R10" i="31"/>
  <c r="R10" i="32" s="1"/>
  <c r="O10" i="31"/>
  <c r="O10" i="32" s="1"/>
  <c r="D10" i="31"/>
  <c r="D10" i="32" s="1"/>
  <c r="C11" i="31"/>
  <c r="C11" i="32" s="1"/>
  <c r="J11" i="31"/>
  <c r="J11" i="32" s="1"/>
  <c r="H11" i="31"/>
  <c r="H11" i="32" s="1"/>
  <c r="M9" i="31"/>
  <c r="M9" i="32" s="1"/>
  <c r="C9" i="31"/>
  <c r="C9" i="32" s="1"/>
  <c r="L9" i="31"/>
  <c r="L9" i="32" s="1"/>
  <c r="C17" i="31"/>
  <c r="C17" i="32" s="1"/>
  <c r="C16" i="31"/>
  <c r="C16" i="32" s="1"/>
  <c r="D14" i="31"/>
  <c r="D14" i="32" s="1"/>
  <c r="D20" i="31"/>
  <c r="D20" i="32" s="1"/>
  <c r="D27" i="31"/>
  <c r="D27" i="32" s="1"/>
  <c r="B12" i="31"/>
  <c r="B12" i="32" s="1"/>
  <c r="B19" i="31"/>
  <c r="B19" i="32" s="1"/>
  <c r="D15" i="31"/>
  <c r="D15" i="32" s="1"/>
  <c r="D22" i="31"/>
  <c r="D22" i="32" s="1"/>
  <c r="B18" i="31"/>
  <c r="B18" i="32" s="1"/>
  <c r="B16" i="31"/>
  <c r="B16" i="32" s="1"/>
  <c r="B23" i="31"/>
  <c r="B23" i="32" s="1"/>
  <c r="M10" i="31"/>
  <c r="M10" i="32" s="1"/>
  <c r="N10" i="31"/>
  <c r="N10" i="32" s="1"/>
  <c r="K10" i="31"/>
  <c r="K10" i="32" s="1"/>
  <c r="T10" i="31"/>
  <c r="T10" i="32" s="1"/>
  <c r="E11" i="31"/>
  <c r="E11" i="32" s="1"/>
  <c r="F11" i="31"/>
  <c r="F11" i="32" s="1"/>
  <c r="D11" i="31"/>
  <c r="D11" i="32" s="1"/>
  <c r="Q9" i="31"/>
  <c r="Q9" i="32" s="1"/>
  <c r="I9" i="31"/>
  <c r="I9" i="32" s="1"/>
  <c r="E9" i="31"/>
  <c r="E9" i="32" s="1"/>
  <c r="H9" i="31"/>
  <c r="H9" i="32" s="1"/>
  <c r="C19" i="31"/>
  <c r="C19" i="32" s="1"/>
  <c r="C14" i="31"/>
  <c r="C14" i="32" s="1"/>
  <c r="C20" i="31"/>
  <c r="C20" i="32" s="1"/>
  <c r="D12" i="31"/>
  <c r="D12" i="32" s="1"/>
  <c r="D18" i="31"/>
  <c r="D18" i="32" s="1"/>
  <c r="D23" i="31"/>
  <c r="D23" i="32" s="1"/>
  <c r="D28" i="31"/>
  <c r="D28" i="32" s="1"/>
  <c r="B25" i="31"/>
  <c r="B25" i="32" s="1"/>
  <c r="B21" i="31"/>
  <c r="B21" i="32" s="1"/>
  <c r="T28" i="31"/>
  <c r="T28" i="32" s="1"/>
  <c r="P28" i="31"/>
  <c r="P28" i="32" s="1"/>
  <c r="L28" i="31"/>
  <c r="L28" i="32" s="1"/>
  <c r="H28" i="31"/>
  <c r="H28" i="32" s="1"/>
  <c r="T27" i="31"/>
  <c r="T27" i="32" s="1"/>
  <c r="P27" i="31"/>
  <c r="P27" i="32" s="1"/>
  <c r="L27" i="31"/>
  <c r="L27" i="32" s="1"/>
  <c r="H27" i="31"/>
  <c r="H27" i="32" s="1"/>
  <c r="T26" i="31"/>
  <c r="T26" i="32" s="1"/>
  <c r="P26" i="31"/>
  <c r="P26" i="32" s="1"/>
  <c r="L26" i="31"/>
  <c r="L26" i="32" s="1"/>
  <c r="H26" i="31"/>
  <c r="H26" i="32" s="1"/>
  <c r="T25" i="31"/>
  <c r="T25" i="32" s="1"/>
  <c r="P25" i="31"/>
  <c r="P25" i="32" s="1"/>
  <c r="L25" i="31"/>
  <c r="L25" i="32" s="1"/>
  <c r="H25" i="31"/>
  <c r="H25" i="32" s="1"/>
  <c r="T24" i="31"/>
  <c r="T24" i="32" s="1"/>
  <c r="P24" i="31"/>
  <c r="P24" i="32" s="1"/>
  <c r="L24" i="31"/>
  <c r="L24" i="32" s="1"/>
  <c r="H24" i="31"/>
  <c r="H24" i="32" s="1"/>
  <c r="T23" i="31"/>
  <c r="T23" i="32" s="1"/>
  <c r="P23" i="31"/>
  <c r="P23" i="32" s="1"/>
  <c r="L23" i="31"/>
  <c r="L23" i="32" s="1"/>
  <c r="H23" i="31"/>
  <c r="H23" i="32" s="1"/>
  <c r="T22" i="31"/>
  <c r="T22" i="32" s="1"/>
  <c r="P22" i="31"/>
  <c r="P22" i="32" s="1"/>
  <c r="L22" i="31"/>
  <c r="L22" i="32" s="1"/>
  <c r="H22" i="31"/>
  <c r="H22" i="32" s="1"/>
  <c r="T21" i="31"/>
  <c r="T21" i="32" s="1"/>
  <c r="P21" i="31"/>
  <c r="P21" i="32" s="1"/>
  <c r="L21" i="31"/>
  <c r="L21" i="32" s="1"/>
  <c r="H21" i="31"/>
  <c r="H21" i="32" s="1"/>
  <c r="T20" i="31"/>
  <c r="T20" i="32" s="1"/>
  <c r="P20" i="31"/>
  <c r="P20" i="32" s="1"/>
  <c r="L20" i="31"/>
  <c r="L20" i="32" s="1"/>
  <c r="H20" i="31"/>
  <c r="H20" i="32" s="1"/>
  <c r="T19" i="31"/>
  <c r="T19" i="32" s="1"/>
  <c r="P19" i="31"/>
  <c r="P19" i="32" s="1"/>
  <c r="L19" i="31"/>
  <c r="L19" i="32" s="1"/>
  <c r="H19" i="31"/>
  <c r="H19" i="32" s="1"/>
  <c r="T18" i="31"/>
  <c r="T18" i="32" s="1"/>
  <c r="P18" i="31"/>
  <c r="P18" i="32" s="1"/>
  <c r="L18" i="31"/>
  <c r="L18" i="32" s="1"/>
  <c r="H18" i="31"/>
  <c r="H18" i="32" s="1"/>
  <c r="T17" i="31"/>
  <c r="T17" i="32" s="1"/>
  <c r="P17" i="31"/>
  <c r="P17" i="32" s="1"/>
  <c r="L17" i="31"/>
  <c r="L17" i="32" s="1"/>
  <c r="H17" i="31"/>
  <c r="H17" i="32" s="1"/>
  <c r="T16" i="31"/>
  <c r="T16" i="32" s="1"/>
  <c r="P16" i="31"/>
  <c r="P16" i="32" s="1"/>
  <c r="L16" i="31"/>
  <c r="L16" i="32" s="1"/>
  <c r="H16" i="31"/>
  <c r="H16" i="32" s="1"/>
  <c r="T15" i="31"/>
  <c r="T15" i="32" s="1"/>
  <c r="P15" i="31"/>
  <c r="P15" i="32" s="1"/>
  <c r="L15" i="31"/>
  <c r="L15" i="32" s="1"/>
  <c r="H15" i="31"/>
  <c r="H15" i="32" s="1"/>
  <c r="T14" i="31"/>
  <c r="T14" i="32" s="1"/>
  <c r="P14" i="31"/>
  <c r="P14" i="32" s="1"/>
  <c r="L14" i="31"/>
  <c r="L14" i="32" s="1"/>
  <c r="H14" i="31"/>
  <c r="H14" i="32" s="1"/>
  <c r="T13" i="31"/>
  <c r="T13" i="32" s="1"/>
  <c r="P13" i="31"/>
  <c r="P13" i="32" s="1"/>
  <c r="L13" i="31"/>
  <c r="L13" i="32" s="1"/>
  <c r="H13" i="31"/>
  <c r="H13" i="32" s="1"/>
  <c r="T12" i="31"/>
  <c r="T12" i="32" s="1"/>
  <c r="P12" i="31"/>
  <c r="P12" i="32" s="1"/>
  <c r="L12" i="31"/>
  <c r="L12" i="32" s="1"/>
  <c r="H12" i="31"/>
  <c r="H12" i="32" s="1"/>
  <c r="S28" i="31"/>
  <c r="S28" i="32" s="1"/>
  <c r="O28" i="31"/>
  <c r="O28" i="32" s="1"/>
  <c r="K28" i="31"/>
  <c r="K28" i="32" s="1"/>
  <c r="G28" i="31"/>
  <c r="G28" i="32" s="1"/>
  <c r="S27" i="31"/>
  <c r="S27" i="32" s="1"/>
  <c r="O27" i="31"/>
  <c r="O27" i="32" s="1"/>
  <c r="K27" i="31"/>
  <c r="K27" i="32" s="1"/>
  <c r="G27" i="31"/>
  <c r="G27" i="32" s="1"/>
  <c r="S26" i="31"/>
  <c r="S26" i="32" s="1"/>
  <c r="O26" i="31"/>
  <c r="O26" i="32" s="1"/>
  <c r="K26" i="31"/>
  <c r="K26" i="32" s="1"/>
  <c r="G26" i="31"/>
  <c r="G26" i="32" s="1"/>
  <c r="S25" i="31"/>
  <c r="S25" i="32" s="1"/>
  <c r="R28" i="31"/>
  <c r="R28" i="32" s="1"/>
  <c r="J28" i="31"/>
  <c r="J28" i="32" s="1"/>
  <c r="N27" i="31"/>
  <c r="N27" i="32" s="1"/>
  <c r="F27" i="31"/>
  <c r="F27" i="32" s="1"/>
  <c r="R26" i="31"/>
  <c r="R26" i="32" s="1"/>
  <c r="J26" i="31"/>
  <c r="J26" i="32" s="1"/>
  <c r="O25" i="31"/>
  <c r="O25" i="32" s="1"/>
  <c r="J25" i="31"/>
  <c r="J25" i="32" s="1"/>
  <c r="E25" i="31"/>
  <c r="E25" i="32" s="1"/>
  <c r="S24" i="31"/>
  <c r="S24" i="32" s="1"/>
  <c r="N24" i="31"/>
  <c r="N24" i="32" s="1"/>
  <c r="I24" i="31"/>
  <c r="I24" i="32" s="1"/>
  <c r="R23" i="31"/>
  <c r="R23" i="32" s="1"/>
  <c r="M23" i="31"/>
  <c r="M23" i="32" s="1"/>
  <c r="G23" i="31"/>
  <c r="G23" i="32" s="1"/>
  <c r="Q22" i="31"/>
  <c r="Q22" i="32" s="1"/>
  <c r="K22" i="31"/>
  <c r="K22" i="32" s="1"/>
  <c r="F22" i="31"/>
  <c r="F22" i="32" s="1"/>
  <c r="U21" i="31"/>
  <c r="U21" i="32" s="1"/>
  <c r="O21" i="31"/>
  <c r="O21" i="32" s="1"/>
  <c r="J21" i="31"/>
  <c r="J21" i="32" s="1"/>
  <c r="E21" i="31"/>
  <c r="E21" i="32" s="1"/>
  <c r="S20" i="31"/>
  <c r="S20" i="32" s="1"/>
  <c r="N20" i="31"/>
  <c r="N20" i="32" s="1"/>
  <c r="I20" i="31"/>
  <c r="I20" i="32" s="1"/>
  <c r="R19" i="31"/>
  <c r="R19" i="32" s="1"/>
  <c r="M19" i="31"/>
  <c r="M19" i="32" s="1"/>
  <c r="G19" i="31"/>
  <c r="G19" i="32" s="1"/>
  <c r="Q18" i="31"/>
  <c r="Q18" i="32" s="1"/>
  <c r="K18" i="31"/>
  <c r="K18" i="32" s="1"/>
  <c r="F18" i="31"/>
  <c r="F18" i="32" s="1"/>
  <c r="U17" i="31"/>
  <c r="U17" i="32" s="1"/>
  <c r="O17" i="31"/>
  <c r="O17" i="32" s="1"/>
  <c r="J17" i="31"/>
  <c r="J17" i="32" s="1"/>
  <c r="E17" i="31"/>
  <c r="E17" i="32" s="1"/>
  <c r="S16" i="31"/>
  <c r="S16" i="32" s="1"/>
  <c r="N16" i="31"/>
  <c r="N16" i="32" s="1"/>
  <c r="I16" i="31"/>
  <c r="I16" i="32" s="1"/>
  <c r="R15" i="31"/>
  <c r="R15" i="32" s="1"/>
  <c r="M15" i="31"/>
  <c r="M15" i="32" s="1"/>
  <c r="G15" i="31"/>
  <c r="G15" i="32" s="1"/>
  <c r="Q14" i="31"/>
  <c r="Q14" i="32" s="1"/>
  <c r="K14" i="31"/>
  <c r="K14" i="32" s="1"/>
  <c r="F14" i="31"/>
  <c r="F14" i="32" s="1"/>
  <c r="U13" i="31"/>
  <c r="U13" i="32" s="1"/>
  <c r="O13" i="31"/>
  <c r="O13" i="32" s="1"/>
  <c r="J13" i="31"/>
  <c r="J13" i="32" s="1"/>
  <c r="E13" i="31"/>
  <c r="E13" i="32" s="1"/>
  <c r="S12" i="31"/>
  <c r="S12" i="32" s="1"/>
  <c r="N12" i="31"/>
  <c r="N12" i="32" s="1"/>
  <c r="I12" i="31"/>
  <c r="I12" i="32" s="1"/>
  <c r="U14" i="31"/>
  <c r="U14" i="32" s="1"/>
  <c r="E14" i="31"/>
  <c r="E14" i="32" s="1"/>
  <c r="N13" i="31"/>
  <c r="N13" i="32" s="1"/>
  <c r="I13" i="31"/>
  <c r="I13" i="32" s="1"/>
  <c r="R12" i="31"/>
  <c r="R12" i="32" s="1"/>
  <c r="G12" i="31"/>
  <c r="G12" i="32" s="1"/>
  <c r="F28" i="31"/>
  <c r="F28" i="32" s="1"/>
  <c r="R25" i="31"/>
  <c r="R25" i="32" s="1"/>
  <c r="G25" i="31"/>
  <c r="G25" i="32" s="1"/>
  <c r="Q24" i="31"/>
  <c r="Q24" i="32" s="1"/>
  <c r="F24" i="31"/>
  <c r="F24" i="32" s="1"/>
  <c r="O23" i="31"/>
  <c r="O23" i="32" s="1"/>
  <c r="E23" i="31"/>
  <c r="E23" i="32" s="1"/>
  <c r="N22" i="31"/>
  <c r="N22" i="32" s="1"/>
  <c r="M21" i="31"/>
  <c r="M21" i="32" s="1"/>
  <c r="K20" i="31"/>
  <c r="K20" i="32" s="1"/>
  <c r="U19" i="31"/>
  <c r="U19" i="32" s="1"/>
  <c r="E19" i="31"/>
  <c r="E19" i="32" s="1"/>
  <c r="N18" i="31"/>
  <c r="N18" i="32" s="1"/>
  <c r="G17" i="31"/>
  <c r="G17" i="32" s="1"/>
  <c r="F16" i="31"/>
  <c r="F16" i="32" s="1"/>
  <c r="J15" i="31"/>
  <c r="J15" i="32" s="1"/>
  <c r="S14" i="31"/>
  <c r="S14" i="32" s="1"/>
  <c r="G13" i="31"/>
  <c r="G13" i="32" s="1"/>
  <c r="F12" i="31"/>
  <c r="F12" i="32" s="1"/>
  <c r="U28" i="31"/>
  <c r="U28" i="32" s="1"/>
  <c r="Q27" i="31"/>
  <c r="Q27" i="32" s="1"/>
  <c r="M26" i="31"/>
  <c r="M26" i="32" s="1"/>
  <c r="K25" i="31"/>
  <c r="K25" i="32" s="1"/>
  <c r="O24" i="31"/>
  <c r="O24" i="32" s="1"/>
  <c r="E24" i="31"/>
  <c r="E24" i="32" s="1"/>
  <c r="I23" i="31"/>
  <c r="I23" i="32" s="1"/>
  <c r="M22" i="31"/>
  <c r="M22" i="32" s="1"/>
  <c r="Q21" i="31"/>
  <c r="Q21" i="32" s="1"/>
  <c r="U20" i="31"/>
  <c r="U20" i="32" s="1"/>
  <c r="E20" i="31"/>
  <c r="E20" i="32" s="1"/>
  <c r="Q28" i="31"/>
  <c r="Q28" i="32" s="1"/>
  <c r="I28" i="31"/>
  <c r="I28" i="32" s="1"/>
  <c r="U27" i="31"/>
  <c r="U27" i="32" s="1"/>
  <c r="M27" i="31"/>
  <c r="M27" i="32" s="1"/>
  <c r="E27" i="31"/>
  <c r="E27" i="32" s="1"/>
  <c r="Q26" i="31"/>
  <c r="Q26" i="32" s="1"/>
  <c r="I26" i="31"/>
  <c r="I26" i="32" s="1"/>
  <c r="U25" i="31"/>
  <c r="U25" i="32" s="1"/>
  <c r="N25" i="31"/>
  <c r="N25" i="32" s="1"/>
  <c r="I25" i="31"/>
  <c r="I25" i="32" s="1"/>
  <c r="R24" i="31"/>
  <c r="R24" i="32" s="1"/>
  <c r="M24" i="31"/>
  <c r="M24" i="32" s="1"/>
  <c r="G24" i="31"/>
  <c r="G24" i="32" s="1"/>
  <c r="Q23" i="31"/>
  <c r="Q23" i="32" s="1"/>
  <c r="K23" i="31"/>
  <c r="K23" i="32" s="1"/>
  <c r="F23" i="31"/>
  <c r="F23" i="32" s="1"/>
  <c r="U22" i="31"/>
  <c r="U22" i="32" s="1"/>
  <c r="O22" i="31"/>
  <c r="O22" i="32" s="1"/>
  <c r="J22" i="31"/>
  <c r="J22" i="32" s="1"/>
  <c r="E22" i="31"/>
  <c r="E22" i="32" s="1"/>
  <c r="S21" i="31"/>
  <c r="S21" i="32" s="1"/>
  <c r="N21" i="31"/>
  <c r="N21" i="32" s="1"/>
  <c r="I21" i="31"/>
  <c r="I21" i="32" s="1"/>
  <c r="R20" i="31"/>
  <c r="R20" i="32" s="1"/>
  <c r="M20" i="31"/>
  <c r="M20" i="32" s="1"/>
  <c r="G20" i="31"/>
  <c r="G20" i="32" s="1"/>
  <c r="Q19" i="31"/>
  <c r="Q19" i="32" s="1"/>
  <c r="K19" i="31"/>
  <c r="K19" i="32" s="1"/>
  <c r="F19" i="31"/>
  <c r="F19" i="32" s="1"/>
  <c r="U18" i="31"/>
  <c r="U18" i="32" s="1"/>
  <c r="O18" i="31"/>
  <c r="O18" i="32" s="1"/>
  <c r="J18" i="31"/>
  <c r="J18" i="32" s="1"/>
  <c r="E18" i="31"/>
  <c r="E18" i="32" s="1"/>
  <c r="S17" i="31"/>
  <c r="S17" i="32" s="1"/>
  <c r="N17" i="31"/>
  <c r="N17" i="32" s="1"/>
  <c r="I17" i="31"/>
  <c r="I17" i="32" s="1"/>
  <c r="R16" i="31"/>
  <c r="R16" i="32" s="1"/>
  <c r="M16" i="31"/>
  <c r="M16" i="32" s="1"/>
  <c r="G16" i="31"/>
  <c r="G16" i="32" s="1"/>
  <c r="Q15" i="31"/>
  <c r="Q15" i="32" s="1"/>
  <c r="K15" i="31"/>
  <c r="K15" i="32" s="1"/>
  <c r="F15" i="31"/>
  <c r="F15" i="32" s="1"/>
  <c r="O14" i="31"/>
  <c r="O14" i="32" s="1"/>
  <c r="J14" i="31"/>
  <c r="J14" i="32" s="1"/>
  <c r="S13" i="31"/>
  <c r="S13" i="32" s="1"/>
  <c r="M12" i="31"/>
  <c r="M12" i="32" s="1"/>
  <c r="N28" i="31"/>
  <c r="N28" i="32" s="1"/>
  <c r="R27" i="31"/>
  <c r="R27" i="32" s="1"/>
  <c r="J27" i="31"/>
  <c r="J27" i="32" s="1"/>
  <c r="F26" i="31"/>
  <c r="F26" i="32" s="1"/>
  <c r="M25" i="31"/>
  <c r="M25" i="32" s="1"/>
  <c r="K24" i="31"/>
  <c r="K24" i="32" s="1"/>
  <c r="U23" i="31"/>
  <c r="U23" i="32" s="1"/>
  <c r="J23" i="31"/>
  <c r="J23" i="32" s="1"/>
  <c r="S22" i="31"/>
  <c r="S22" i="32" s="1"/>
  <c r="I22" i="31"/>
  <c r="I22" i="32" s="1"/>
  <c r="R21" i="31"/>
  <c r="R21" i="32" s="1"/>
  <c r="G21" i="31"/>
  <c r="G21" i="32" s="1"/>
  <c r="Q20" i="31"/>
  <c r="Q20" i="32" s="1"/>
  <c r="F20" i="31"/>
  <c r="F20" i="32" s="1"/>
  <c r="O19" i="31"/>
  <c r="O19" i="32" s="1"/>
  <c r="S18" i="31"/>
  <c r="S18" i="32" s="1"/>
  <c r="I18" i="31"/>
  <c r="I18" i="32" s="1"/>
  <c r="R17" i="31"/>
  <c r="R17" i="32" s="1"/>
  <c r="Q16" i="31"/>
  <c r="Q16" i="32" s="1"/>
  <c r="U15" i="31"/>
  <c r="U15" i="32" s="1"/>
  <c r="E15" i="31"/>
  <c r="E15" i="32" s="1"/>
  <c r="I14" i="31"/>
  <c r="I14" i="32" s="1"/>
  <c r="R13" i="31"/>
  <c r="R13" i="32" s="1"/>
  <c r="K12" i="31"/>
  <c r="K12" i="32" s="1"/>
  <c r="E28" i="31"/>
  <c r="E28" i="32" s="1"/>
  <c r="U26" i="31"/>
  <c r="U26" i="32" s="1"/>
  <c r="E26" i="31"/>
  <c r="E26" i="32" s="1"/>
  <c r="F25" i="31"/>
  <c r="F25" i="32" s="1"/>
  <c r="J24" i="31"/>
  <c r="J24" i="32" s="1"/>
  <c r="N23" i="31"/>
  <c r="N23" i="32" s="1"/>
  <c r="R22" i="31"/>
  <c r="R22" i="32" s="1"/>
  <c r="F21" i="31"/>
  <c r="F21" i="32" s="1"/>
  <c r="J20" i="31"/>
  <c r="J20" i="32" s="1"/>
  <c r="N26" i="31"/>
  <c r="N26" i="32" s="1"/>
  <c r="J19" i="31"/>
  <c r="J19" i="32" s="1"/>
  <c r="M17" i="31"/>
  <c r="M17" i="32" s="1"/>
  <c r="K16" i="31"/>
  <c r="K16" i="32" s="1"/>
  <c r="O15" i="31"/>
  <c r="O15" i="32" s="1"/>
  <c r="N14" i="31"/>
  <c r="N14" i="32" s="1"/>
  <c r="M13" i="31"/>
  <c r="M13" i="32" s="1"/>
  <c r="Q12" i="31"/>
  <c r="Q12" i="32" s="1"/>
  <c r="M28" i="31"/>
  <c r="M28" i="32" s="1"/>
  <c r="I27" i="31"/>
  <c r="I27" i="32" s="1"/>
  <c r="Q25" i="31"/>
  <c r="Q25" i="32" s="1"/>
  <c r="U24" i="31"/>
  <c r="U24" i="32" s="1"/>
  <c r="S23" i="31"/>
  <c r="S23" i="32" s="1"/>
  <c r="G22" i="31"/>
  <c r="G22" i="32" s="1"/>
  <c r="K21" i="31"/>
  <c r="K21" i="32" s="1"/>
  <c r="O20" i="31"/>
  <c r="O20" i="32" s="1"/>
  <c r="S19" i="31"/>
  <c r="S19" i="32" s="1"/>
  <c r="U16" i="31"/>
  <c r="U16" i="32" s="1"/>
  <c r="S15" i="31"/>
  <c r="S15" i="32" s="1"/>
  <c r="R14" i="31"/>
  <c r="R14" i="32" s="1"/>
  <c r="Q13" i="31"/>
  <c r="Q13" i="32" s="1"/>
  <c r="O12" i="31"/>
  <c r="O12" i="32" s="1"/>
  <c r="R18" i="31"/>
  <c r="R18" i="32" s="1"/>
  <c r="Q17" i="31"/>
  <c r="Q17" i="32" s="1"/>
  <c r="O16" i="31"/>
  <c r="O16" i="32" s="1"/>
  <c r="N15" i="31"/>
  <c r="N15" i="32" s="1"/>
  <c r="M14" i="31"/>
  <c r="M14" i="32" s="1"/>
  <c r="K13" i="31"/>
  <c r="K13" i="32" s="1"/>
  <c r="J12" i="31"/>
  <c r="J12" i="32" s="1"/>
  <c r="N19" i="31"/>
  <c r="N19" i="32" s="1"/>
  <c r="M18" i="31"/>
  <c r="M18" i="32" s="1"/>
  <c r="K17" i="31"/>
  <c r="K17" i="32" s="1"/>
  <c r="J16" i="31"/>
  <c r="J16" i="32" s="1"/>
  <c r="I15" i="31"/>
  <c r="I15" i="32" s="1"/>
  <c r="G14" i="31"/>
  <c r="G14" i="32" s="1"/>
  <c r="F13" i="31"/>
  <c r="F13" i="32" s="1"/>
  <c r="E12" i="31"/>
  <c r="E12" i="32" s="1"/>
  <c r="I19" i="31"/>
  <c r="I19" i="32" s="1"/>
  <c r="G18" i="31"/>
  <c r="G18" i="32" s="1"/>
  <c r="E16" i="31"/>
  <c r="E16" i="32" s="1"/>
  <c r="U12" i="31"/>
  <c r="U12" i="32" s="1"/>
  <c r="F17" i="31"/>
  <c r="F17" i="32" s="1"/>
  <c r="G10" i="31"/>
  <c r="G10" i="32" s="1"/>
  <c r="S10" i="31"/>
  <c r="S10" i="32" s="1"/>
  <c r="J10" i="31"/>
  <c r="J10" i="32" s="1"/>
  <c r="Q10" i="31"/>
  <c r="Q10" i="32" s="1"/>
  <c r="P10" i="31"/>
  <c r="P10" i="32" s="1"/>
  <c r="I11" i="31"/>
  <c r="I11" i="32" s="1"/>
  <c r="O11" i="31"/>
  <c r="O11" i="32" s="1"/>
  <c r="Q11" i="31"/>
  <c r="Q11" i="32" s="1"/>
  <c r="R11" i="31"/>
  <c r="R11" i="32" s="1"/>
  <c r="P11" i="31"/>
  <c r="P11" i="32" s="1"/>
  <c r="K9" i="31"/>
  <c r="K9" i="32" s="1"/>
  <c r="S9" i="31"/>
  <c r="S9" i="32" s="1"/>
  <c r="N9" i="31"/>
  <c r="N9" i="32" s="1"/>
  <c r="U9" i="31"/>
  <c r="U9" i="32" s="1"/>
  <c r="P9" i="31"/>
  <c r="P9" i="32" s="1"/>
  <c r="C23" i="31"/>
  <c r="C23" i="32" s="1"/>
  <c r="C25" i="31"/>
  <c r="C25" i="32" s="1"/>
  <c r="C12" i="32"/>
  <c r="C26" i="31"/>
  <c r="C26" i="32" s="1"/>
  <c r="D13" i="31"/>
  <c r="D13" i="32" s="1"/>
  <c r="D17" i="31"/>
  <c r="D17" i="32" s="1"/>
  <c r="D21" i="31"/>
  <c r="D21" i="32" s="1"/>
  <c r="D25" i="31"/>
  <c r="D25" i="32" s="1"/>
  <c r="B14" i="31"/>
  <c r="B14" i="32" s="1"/>
  <c r="B17" i="31"/>
  <c r="B17" i="32" s="1"/>
  <c r="B20" i="31"/>
  <c r="B20" i="32" s="1"/>
  <c r="B15" i="31"/>
  <c r="B15" i="32" s="1"/>
  <c r="B28" i="31"/>
  <c r="B28" i="32" s="1"/>
  <c r="F12" i="26"/>
  <c r="F13" i="26"/>
  <c r="F14" i="26"/>
  <c r="W3" i="27" l="1"/>
  <c r="F10" i="26"/>
  <c r="F32" i="26" s="1"/>
  <c r="J11" i="26" s="1"/>
  <c r="D32" i="26"/>
  <c r="D17" i="29"/>
  <c r="D19" i="29" s="1"/>
  <c r="D10" i="29"/>
  <c r="H61" i="29" l="1"/>
  <c r="H60" i="29"/>
  <c r="J31" i="29"/>
  <c r="I60" i="29"/>
  <c r="G60" i="29"/>
  <c r="D24" i="29"/>
  <c r="D28" i="29" s="1"/>
  <c r="I53" i="29" s="1"/>
  <c r="C16" i="21"/>
  <c r="C17" i="21" s="1"/>
  <c r="B18" i="21" s="1"/>
  <c r="J37" i="22"/>
  <c r="J39" i="22" s="1"/>
  <c r="G38" i="29" l="1"/>
  <c r="I38" i="29"/>
  <c r="C20" i="22"/>
  <c r="D20" i="22"/>
  <c r="B20" i="22"/>
  <c r="D10" i="22"/>
  <c r="D11" i="22" s="1"/>
  <c r="B10" i="22"/>
  <c r="B11" i="22" l="1"/>
  <c r="J11" i="22" s="1"/>
  <c r="J34" i="22"/>
  <c r="G21" i="19"/>
  <c r="F29" i="20"/>
  <c r="E10" i="21" l="1"/>
  <c r="E11" i="21" s="1"/>
  <c r="C10" i="21"/>
  <c r="C11" i="21" l="1"/>
  <c r="J17" i="21" s="1"/>
  <c r="C22" i="18"/>
  <c r="C17" i="17"/>
  <c r="C18" i="17"/>
  <c r="C19" i="17"/>
  <c r="C20" i="17"/>
  <c r="C21" i="17"/>
  <c r="C16" i="17"/>
  <c r="C7" i="17" s="1"/>
  <c r="E15" i="20"/>
  <c r="D13" i="14"/>
  <c r="A18" i="16"/>
  <c r="D14" i="16" s="1"/>
  <c r="C6" i="17" l="1"/>
  <c r="H17" i="21"/>
  <c r="C8" i="17"/>
  <c r="O17" i="19"/>
  <c r="Q17" i="19"/>
  <c r="B10" i="19"/>
  <c r="F24" i="19" s="1"/>
  <c r="D10" i="19"/>
  <c r="H24" i="19" s="1"/>
  <c r="D27" i="19" l="1"/>
  <c r="D14" i="19" s="1"/>
  <c r="O12" i="19"/>
  <c r="O9" i="19"/>
  <c r="G11" i="20"/>
  <c r="G32" i="20" s="1"/>
  <c r="E11" i="20"/>
  <c r="G12" i="19"/>
  <c r="G13" i="19" s="1"/>
  <c r="F14" i="19" l="1"/>
  <c r="K14" i="19" s="1"/>
  <c r="F35" i="20"/>
  <c r="C14" i="20" s="1"/>
  <c r="Q10" i="19"/>
  <c r="I14" i="19" l="1"/>
  <c r="F22" i="20"/>
  <c r="G22" i="20"/>
  <c r="E22" i="20"/>
  <c r="C21" i="18"/>
  <c r="C20" i="18"/>
  <c r="C19" i="18"/>
  <c r="C18" i="18"/>
  <c r="C17" i="18"/>
  <c r="C16" i="18"/>
  <c r="G12" i="17"/>
  <c r="G13" i="17" s="1"/>
  <c r="C8" i="14"/>
  <c r="C8" i="18" l="1"/>
  <c r="C9" i="18" s="1"/>
  <c r="C7" i="18"/>
  <c r="C6" i="18"/>
  <c r="C9" i="17"/>
  <c r="G15" i="17" s="1"/>
  <c r="K18" i="17" s="1"/>
  <c r="G30" i="18" l="1"/>
  <c r="I26" i="18"/>
  <c r="H26" i="18"/>
  <c r="G26" i="18"/>
  <c r="G20" i="18"/>
  <c r="I18" i="17"/>
  <c r="C8" i="16"/>
  <c r="C11" i="16" s="1"/>
  <c r="B8" i="16"/>
  <c r="A8" i="16"/>
  <c r="B8" i="14"/>
  <c r="A8" i="14"/>
  <c r="B11" i="16" l="1"/>
  <c r="A11" i="16"/>
  <c r="A18" i="14"/>
  <c r="A11" i="14" l="1"/>
  <c r="C11" i="14"/>
  <c r="B11" i="14"/>
  <c r="A23" i="12"/>
  <c r="A24" i="12" s="1"/>
  <c r="A25" i="12" s="1"/>
  <c r="H24" i="12" s="1"/>
  <c r="H25" i="12" s="1"/>
  <c r="A7" i="12"/>
  <c r="A8" i="12" s="1"/>
  <c r="A4" i="12"/>
  <c r="A11" i="12" s="1"/>
  <c r="A12" i="12" l="1"/>
  <c r="A9" i="12"/>
  <c r="D9" i="12"/>
  <c r="A9" i="13"/>
  <c r="A4" i="13"/>
  <c r="A5" i="13" s="1"/>
  <c r="A3" i="11"/>
  <c r="A9" i="11" s="1"/>
  <c r="I3" i="11"/>
  <c r="I2" i="11"/>
  <c r="F3" i="2"/>
  <c r="A5" i="11"/>
  <c r="A6" i="11" s="1"/>
  <c r="E9" i="11"/>
  <c r="A11" i="13" l="1"/>
  <c r="G16" i="13" s="1"/>
  <c r="A14" i="12"/>
  <c r="B17" i="12" s="1"/>
  <c r="G2" i="11"/>
  <c r="G3" i="11"/>
  <c r="A6" i="13"/>
  <c r="A12" i="13" s="1"/>
  <c r="E16" i="13" s="1"/>
  <c r="A13" i="11"/>
  <c r="A14" i="11" s="1"/>
  <c r="F10" i="11"/>
  <c r="A18" i="11"/>
  <c r="A19" i="11" s="1"/>
  <c r="A16" i="7"/>
  <c r="A15" i="7"/>
  <c r="D19" i="6"/>
  <c r="A13" i="9"/>
  <c r="A13" i="7"/>
  <c r="D17" i="12" l="1"/>
  <c r="A18" i="7"/>
  <c r="A16" i="11"/>
  <c r="C20" i="4"/>
  <c r="A6" i="10" l="1"/>
  <c r="A7" i="10" s="1"/>
  <c r="A9" i="10" s="1"/>
  <c r="A11" i="10" s="1"/>
  <c r="A13" i="10" s="1"/>
  <c r="J17" i="2"/>
  <c r="H9" i="2" l="1"/>
  <c r="E9" i="3" l="1"/>
  <c r="E5" i="9" l="1"/>
  <c r="E6" i="9" s="1"/>
  <c r="A4" i="9" s="1"/>
  <c r="A5" i="9"/>
  <c r="A19" i="2"/>
  <c r="A17" i="2"/>
  <c r="A6" i="9" l="1"/>
  <c r="K21" i="6"/>
  <c r="E2" i="2"/>
  <c r="A7" i="2"/>
  <c r="E11" i="9" l="1"/>
  <c r="E10" i="9"/>
  <c r="A7" i="7"/>
  <c r="A11" i="7" s="1"/>
  <c r="C16" i="5" l="1"/>
  <c r="D11" i="5"/>
  <c r="D10" i="5"/>
  <c r="D9" i="5"/>
  <c r="D8" i="5"/>
  <c r="C5" i="4"/>
  <c r="C4" i="4"/>
  <c r="C3" i="4"/>
  <c r="D16" i="5" l="1"/>
  <c r="E8" i="5" l="1"/>
  <c r="E10" i="5"/>
  <c r="E9" i="5"/>
  <c r="E11" i="5"/>
  <c r="A9" i="3"/>
  <c r="A13" i="3" s="1"/>
  <c r="E16" i="5" l="1"/>
  <c r="F16" i="5" s="1"/>
  <c r="F10" i="3"/>
  <c r="A18" i="3"/>
  <c r="A19" i="3" s="1"/>
  <c r="A12" i="2"/>
  <c r="A13" i="2" s="1"/>
  <c r="A8" i="2"/>
  <c r="A16" i="3" l="1"/>
  <c r="A10" i="2"/>
  <c r="C26" i="1"/>
  <c r="C20" i="1"/>
  <c r="E23" i="1"/>
  <c r="C4" i="1"/>
  <c r="C12" i="1" l="1"/>
  <c r="C11" i="1"/>
  <c r="C6" i="1"/>
  <c r="C16" i="1"/>
  <c r="C24" i="1" s="1"/>
  <c r="C18" i="1"/>
  <c r="D26" i="1"/>
  <c r="C13" i="1" l="1"/>
</calcChain>
</file>

<file path=xl/sharedStrings.xml><?xml version="1.0" encoding="utf-8"?>
<sst xmlns="http://schemas.openxmlformats.org/spreadsheetml/2006/main" count="563" uniqueCount="343">
  <si>
    <t>Function Name</t>
  </si>
  <si>
    <t>Function in EXCEL</t>
  </si>
  <si>
    <t xml:space="preserve">Average </t>
  </si>
  <si>
    <t>Example Data</t>
  </si>
  <si>
    <t>Sample standard deviation</t>
  </si>
  <si>
    <t>Population standard deviation</t>
  </si>
  <si>
    <t>Value of Function</t>
  </si>
  <si>
    <t>AVERAGE()</t>
  </si>
  <si>
    <t>STDEV.S()</t>
  </si>
  <si>
    <t>STDEV.P()</t>
  </si>
  <si>
    <t>Median</t>
  </si>
  <si>
    <t>MEDIAN()</t>
  </si>
  <si>
    <t>Mode (will not be used)</t>
  </si>
  <si>
    <t>Midrange (do manually)</t>
  </si>
  <si>
    <t>MAX</t>
  </si>
  <si>
    <t>MIN</t>
  </si>
  <si>
    <t>Largest</t>
  </si>
  <si>
    <t>Smallest</t>
  </si>
  <si>
    <t>(MIN+MAX) / 2</t>
  </si>
  <si>
    <t>Sorted</t>
  </si>
  <si>
    <t>Percentile</t>
  </si>
  <si>
    <t>PERCENTILE(data,decimal)</t>
  </si>
  <si>
    <t>example is 0.50 for 50%</t>
  </si>
  <si>
    <t>Z score</t>
  </si>
  <si>
    <t>(X - Average) / Stdev</t>
  </si>
  <si>
    <t>example: x = 51</t>
  </si>
  <si>
    <t>PERCENTRANK(data,value)</t>
  </si>
  <si>
    <t>Percentile for a data value</t>
  </si>
  <si>
    <t>result shown is for x = 13</t>
  </si>
  <si>
    <t>= mean</t>
  </si>
  <si>
    <t>= st.dev</t>
  </si>
  <si>
    <t>= X1</t>
  </si>
  <si>
    <t>= X2</t>
  </si>
  <si>
    <t>= prob between X1 and X2</t>
  </si>
  <si>
    <t>= prob to the right of X1</t>
  </si>
  <si>
    <t>= prob to the right of X2</t>
  </si>
  <si>
    <t>percentile</t>
  </si>
  <si>
    <t>= N</t>
  </si>
  <si>
    <t>= stdev/SQRT(N)</t>
  </si>
  <si>
    <t>= FACT(n)</t>
  </si>
  <si>
    <t>= PERMUT(n,r)</t>
  </si>
  <si>
    <t>= COMBIN(n,r)</t>
  </si>
  <si>
    <t>x</t>
  </si>
  <si>
    <t>P(x)</t>
  </si>
  <si>
    <t>xP(x)</t>
  </si>
  <si>
    <t>P(x)(x-mu)^2</t>
  </si>
  <si>
    <t>"valid"</t>
  </si>
  <si>
    <t>mean</t>
  </si>
  <si>
    <t>variance</t>
  </si>
  <si>
    <t>st. dev.</t>
  </si>
  <si>
    <t># line</t>
  </si>
  <si>
    <t xml:space="preserve">Random variable "x" is distributed Uniform between "a" and "b" </t>
  </si>
  <si>
    <r>
      <t>p</t>
    </r>
    <r>
      <rPr>
        <vertAlign val="superscript"/>
        <sz val="12"/>
        <color theme="1"/>
        <rFont val="Arial"/>
        <family val="2"/>
      </rPr>
      <t>th</t>
    </r>
  </si>
  <si>
    <t>= percentile</t>
  </si>
  <si>
    <t>percent</t>
  </si>
  <si>
    <t>Individual</t>
  </si>
  <si>
    <t>values</t>
  </si>
  <si>
    <t>= xbar1</t>
  </si>
  <si>
    <t>= xbar2</t>
  </si>
  <si>
    <t>= stdev</t>
  </si>
  <si>
    <t>= prob to the left of X2</t>
  </si>
  <si>
    <t>For averages from samples of size N</t>
  </si>
  <si>
    <t>For individual values</t>
  </si>
  <si>
    <t>percentile = (p-decimal)(b-a) + a</t>
  </si>
  <si>
    <t>=b</t>
  </si>
  <si>
    <t>=a and = c</t>
  </si>
  <si>
    <t>=p (in decimal form)</t>
  </si>
  <si>
    <t>= percentile value</t>
  </si>
  <si>
    <t>xbar1 is &gt; xbar2</t>
  </si>
  <si>
    <t>= probability to the left</t>
  </si>
  <si>
    <t>= "Z" when mean = 0 and stdev = 1</t>
  </si>
  <si>
    <t>= prob to the right</t>
  </si>
  <si>
    <t>= prob to left</t>
  </si>
  <si>
    <t>= deg of freedom</t>
  </si>
  <si>
    <t>= t   "critical value"</t>
  </si>
  <si>
    <t>data</t>
  </si>
  <si>
    <t>= xbar</t>
  </si>
  <si>
    <t>= n</t>
  </si>
  <si>
    <t>= df</t>
  </si>
  <si>
    <t>= confidence</t>
  </si>
  <si>
    <t>= alpha</t>
  </si>
  <si>
    <t>= alpha / 2</t>
  </si>
  <si>
    <t>= lower limit</t>
  </si>
  <si>
    <t>=upper limit</t>
  </si>
  <si>
    <t>xbar2 is &lt; xbar1</t>
  </si>
  <si>
    <t>= prob to the left of X1</t>
  </si>
  <si>
    <t>= prob to the left of Xbar1</t>
  </si>
  <si>
    <t>= prob to the right of Xbar1</t>
  </si>
  <si>
    <t>= prob between Xbar1 and Xbar2</t>
  </si>
  <si>
    <t>= prob to the left of Xbar2</t>
  </si>
  <si>
    <t>= prob to the right of Xbar2</t>
  </si>
  <si>
    <t>if needed</t>
  </si>
  <si>
    <t>&lt;==  x1 &gt; x2</t>
  </si>
  <si>
    <t/>
  </si>
  <si>
    <t>= sample size rounded UP</t>
  </si>
  <si>
    <t>= m</t>
  </si>
  <si>
    <t>= acceptable error or required accuracy</t>
  </si>
  <si>
    <t>= sigmahat</t>
  </si>
  <si>
    <t>= standard deviation estimate of variation</t>
  </si>
  <si>
    <t>= alpha = 1 - confidence</t>
  </si>
  <si>
    <t>= (Z * sigmahat / m)^2</t>
  </si>
  <si>
    <r>
      <t xml:space="preserve">= </t>
    </r>
    <r>
      <rPr>
        <b/>
        <sz val="12"/>
        <color theme="1"/>
        <rFont val="Symbol"/>
        <family val="1"/>
        <charset val="2"/>
      </rPr>
      <t>a</t>
    </r>
  </si>
  <si>
    <r>
      <t xml:space="preserve">= </t>
    </r>
    <r>
      <rPr>
        <b/>
        <sz val="12"/>
        <color theme="1"/>
        <rFont val="Symbol"/>
        <family val="1"/>
        <charset val="2"/>
      </rPr>
      <t>a / 2</t>
    </r>
  </si>
  <si>
    <r>
      <t>= Z</t>
    </r>
    <r>
      <rPr>
        <b/>
        <vertAlign val="subscript"/>
        <sz val="12"/>
        <color theme="1"/>
        <rFont val="Symbol"/>
        <family val="1"/>
        <charset val="2"/>
      </rPr>
      <t>a</t>
    </r>
    <r>
      <rPr>
        <b/>
        <vertAlign val="subscript"/>
        <sz val="12"/>
        <color theme="1"/>
        <rFont val="Arial"/>
        <family val="2"/>
      </rPr>
      <t>/2</t>
    </r>
  </si>
  <si>
    <t>Use the absolute value of Z</t>
  </si>
  <si>
    <t>= sample size (with decimals)</t>
  </si>
  <si>
    <r>
      <t>Sample size needed to estimate a population mean (</t>
    </r>
    <r>
      <rPr>
        <b/>
        <sz val="12"/>
        <color theme="1"/>
        <rFont val="Symbol"/>
        <family val="1"/>
        <charset val="2"/>
      </rPr>
      <t>m</t>
    </r>
    <r>
      <rPr>
        <b/>
        <sz val="12"/>
        <color theme="1"/>
        <rFont val="Arial"/>
        <family val="2"/>
      </rPr>
      <t>)</t>
    </r>
  </si>
  <si>
    <t>Population parameters for individual values of "X"</t>
  </si>
  <si>
    <t>standard deviation of population</t>
  </si>
  <si>
    <t>of averages of samples of size N</t>
  </si>
  <si>
    <t>Percentile for the distribution</t>
  </si>
  <si>
    <t>of sample averages (means)</t>
  </si>
  <si>
    <t>Enter required values in the "yellow" cells</t>
  </si>
  <si>
    <t>Limits for Confidence Interval</t>
  </si>
  <si>
    <t>Confidence Interval for a mean</t>
  </si>
  <si>
    <t>= x "successes"</t>
  </si>
  <si>
    <t>= (n-x) "failures"</t>
  </si>
  <si>
    <t>= p "probability of success on each trial"</t>
  </si>
  <si>
    <t>= q "probability of failure on each trial"</t>
  </si>
  <si>
    <t>Binomial calculation for probability of exactly "x" succeses in "n" trials</t>
  </si>
  <si>
    <t>* note: either "p" or "q" or both must be available</t>
  </si>
  <si>
    <t xml:space="preserve">  If only "p" is available, then q = 1 - p</t>
  </si>
  <si>
    <t xml:space="preserve">  If only "q" is available, then p = 1 - q</t>
  </si>
  <si>
    <t>= P(X successes in the n trials)</t>
  </si>
  <si>
    <t>"proper"</t>
  </si>
  <si>
    <t>of a discrete probability distribution</t>
  </si>
  <si>
    <t>distribution</t>
  </si>
  <si>
    <t>These columns</t>
  </si>
  <si>
    <t>are "known"</t>
  </si>
  <si>
    <t>are "calculated"</t>
  </si>
  <si>
    <t>column sums =</t>
  </si>
  <si>
    <t>if this</t>
  </si>
  <si>
    <t xml:space="preserve">sum = 1 </t>
  </si>
  <si>
    <r>
      <rPr>
        <u/>
        <sz val="16"/>
        <color theme="1"/>
        <rFont val="Arial"/>
        <family val="2"/>
      </rPr>
      <t>Example</t>
    </r>
    <r>
      <rPr>
        <sz val="16"/>
        <color theme="1"/>
        <rFont val="Arial"/>
        <family val="2"/>
      </rPr>
      <t xml:space="preserve"> of mean, variance, and standard deviation </t>
    </r>
  </si>
  <si>
    <t>Factorial</t>
  </si>
  <si>
    <t>Permutations</t>
  </si>
  <si>
    <t>Combinations</t>
  </si>
  <si>
    <t>n =</t>
  </si>
  <si>
    <t>r =</t>
  </si>
  <si>
    <t>A</t>
  </si>
  <si>
    <t>B</t>
  </si>
  <si>
    <t>C</t>
  </si>
  <si>
    <t>D</t>
  </si>
  <si>
    <t>E</t>
  </si>
  <si>
    <t>F</t>
  </si>
  <si>
    <t>Events</t>
  </si>
  <si>
    <t>Example of "Fundamental Counting Rule"</t>
  </si>
  <si>
    <t xml:space="preserve">Number of ways each </t>
  </si>
  <si>
    <t>event can happen</t>
  </si>
  <si>
    <t>= Number of ways the events can happen together</t>
  </si>
  <si>
    <t>= product(c13:C18)</t>
  </si>
  <si>
    <t>&lt; === a potentially useful EXCEL function</t>
  </si>
  <si>
    <t>Counting Rules</t>
  </si>
  <si>
    <t>=SUM(p and q)</t>
  </si>
  <si>
    <r>
      <t>p</t>
    </r>
    <r>
      <rPr>
        <b/>
        <vertAlign val="superscript"/>
        <sz val="12"/>
        <color theme="1"/>
        <rFont val="Arial"/>
        <family val="2"/>
      </rPr>
      <t>th</t>
    </r>
  </si>
  <si>
    <t>= successes</t>
  </si>
  <si>
    <t>= failures</t>
  </si>
  <si>
    <t>= phat</t>
  </si>
  <si>
    <t>= qhat</t>
  </si>
  <si>
    <t>= 1 - alpha/2</t>
  </si>
  <si>
    <t>= Chi-square "left"</t>
  </si>
  <si>
    <t>= Chi-square "right"</t>
  </si>
  <si>
    <t>= sample standard deviaiton</t>
  </si>
  <si>
    <t>CI(p) = p-hat +/- Z*sqrt(p-hat*q-hat/n)</t>
  </si>
  <si>
    <t>= X</t>
  </si>
  <si>
    <t>= Confidence</t>
  </si>
  <si>
    <t>= p-hat</t>
  </si>
  <si>
    <t>= q-hat</t>
  </si>
  <si>
    <t>= 1 - p-hat</t>
  </si>
  <si>
    <t>= margin of error</t>
  </si>
  <si>
    <t>= Z*sqrt(p-hat*q-hat/n)</t>
  </si>
  <si>
    <t>[</t>
  </si>
  <si>
    <t>&lt; p &lt;</t>
  </si>
  <si>
    <t>]</t>
  </si>
  <si>
    <r>
      <t>= Z</t>
    </r>
    <r>
      <rPr>
        <b/>
        <vertAlign val="subscript"/>
        <sz val="12"/>
        <color theme="1"/>
        <rFont val="Symbol"/>
        <family val="1"/>
        <charset val="2"/>
      </rPr>
      <t>a</t>
    </r>
    <r>
      <rPr>
        <b/>
        <vertAlign val="subscript"/>
        <sz val="12"/>
        <color theme="1"/>
        <rFont val="Calibri Light"/>
        <family val="2"/>
      </rPr>
      <t>/2</t>
    </r>
  </si>
  <si>
    <t>Confidence Interval for a proportion</t>
  </si>
  <si>
    <t>Provide required values in the "yellow" cells</t>
  </si>
  <si>
    <t>= N - X</t>
  </si>
  <si>
    <t>Sample size needed to estimate p</t>
  </si>
  <si>
    <t>= m  "acceptable margin of error"</t>
  </si>
  <si>
    <t xml:space="preserve">        or "required accuracy"</t>
  </si>
  <si>
    <t>= reasonable value for p-hat that is closest to 0.5</t>
  </si>
  <si>
    <t>= reasonable value for q-hat that is closest to 0.5</t>
  </si>
  <si>
    <t>final n =</t>
  </si>
  <si>
    <t>Hypothesis for a mean</t>
  </si>
  <si>
    <t>left tail tst</t>
  </si>
  <si>
    <t>2-tail tst</t>
  </si>
  <si>
    <t>right tail tst</t>
  </si>
  <si>
    <t>Critical value(s) for t</t>
  </si>
  <si>
    <t>alpha</t>
  </si>
  <si>
    <t>alpha / 2</t>
  </si>
  <si>
    <t>= test statistic value</t>
  </si>
  <si>
    <r>
      <t>= H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>: value</t>
    </r>
  </si>
  <si>
    <t>1-alpha</t>
  </si>
  <si>
    <t>Left tail</t>
  </si>
  <si>
    <t>2 tails</t>
  </si>
  <si>
    <t>Right Tail</t>
  </si>
  <si>
    <t>alpha = significance level = P(Type I Error) =</t>
  </si>
  <si>
    <t>Test statistic</t>
  </si>
  <si>
    <t>Hypothesis for a proportion</t>
  </si>
  <si>
    <t>= n (trials)</t>
  </si>
  <si>
    <t>= p hypothesized</t>
  </si>
  <si>
    <t>= q hypothesized</t>
  </si>
  <si>
    <t>Critical value(s) for z</t>
  </si>
  <si>
    <t>=phat</t>
  </si>
  <si>
    <t>X</t>
  </si>
  <si>
    <t>y</t>
  </si>
  <si>
    <t>d</t>
  </si>
  <si>
    <t>mean =</t>
  </si>
  <si>
    <t>st. dev =</t>
  </si>
  <si>
    <t>confidence =</t>
  </si>
  <si>
    <t>alpha =</t>
  </si>
  <si>
    <t>alpha / 2 =</t>
  </si>
  <si>
    <t>tcritical =</t>
  </si>
  <si>
    <t>df =</t>
  </si>
  <si>
    <t>Confidence Interval</t>
  </si>
  <si>
    <t>,</t>
  </si>
  <si>
    <t>= dbar</t>
  </si>
  <si>
    <t>= critical value</t>
  </si>
  <si>
    <t>Statistics for Differences</t>
  </si>
  <si>
    <r>
      <t>= S</t>
    </r>
    <r>
      <rPr>
        <vertAlign val="subscript"/>
        <sz val="12"/>
        <color theme="1"/>
        <rFont val="Arial"/>
        <family val="2"/>
      </rPr>
      <t>d</t>
    </r>
  </si>
  <si>
    <t>Data (with pairwise differences)</t>
  </si>
  <si>
    <t>calculate</t>
  </si>
  <si>
    <t>Confidence Interval for Difference Between 2 Population Means</t>
  </si>
  <si>
    <t>Statistics for Samples</t>
  </si>
  <si>
    <t>Sample 1</t>
  </si>
  <si>
    <t>Sample 2</t>
  </si>
  <si>
    <t>When the data are in "matched pairs"</t>
  </si>
  <si>
    <t>Hypothesis Test for Difference Between 2 Population Means</t>
  </si>
  <si>
    <t>When data are NOT in "matched pairs"</t>
  </si>
  <si>
    <t>Use</t>
  </si>
  <si>
    <t>Value of Test Statistic</t>
  </si>
  <si>
    <t>Approximate Degrees of Freedom</t>
  </si>
  <si>
    <t>=</t>
  </si>
  <si>
    <t>Erase yellow values and enter up to 120</t>
  </si>
  <si>
    <t>rows of data to begin a new problem</t>
  </si>
  <si>
    <t xml:space="preserve">   =</t>
  </si>
  <si>
    <t>Critical Value</t>
  </si>
  <si>
    <t>+ / -</t>
  </si>
  <si>
    <t>Critical Values</t>
  </si>
  <si>
    <t>Left Tail</t>
  </si>
  <si>
    <t>2 Tails</t>
  </si>
  <si>
    <t>values from data</t>
  </si>
  <si>
    <t>Confidence Interval for Difference Between 2 Population Proportions</t>
  </si>
  <si>
    <t>Degrees of Freedom formula:</t>
  </si>
  <si>
    <t xml:space="preserve">= </t>
  </si>
  <si>
    <t>+</t>
  </si>
  <si>
    <t>df</t>
  </si>
  <si>
    <t>Use df =</t>
  </si>
  <si>
    <r>
      <t>= t</t>
    </r>
    <r>
      <rPr>
        <vertAlign val="subscript"/>
        <sz val="12"/>
        <color theme="1"/>
        <rFont val="Symbol"/>
        <family val="1"/>
        <charset val="2"/>
      </rPr>
      <t>a</t>
    </r>
    <r>
      <rPr>
        <vertAlign val="subscript"/>
        <sz val="12"/>
        <color theme="1"/>
        <rFont val="Calibri Light"/>
        <family val="2"/>
      </rPr>
      <t>/2</t>
    </r>
  </si>
  <si>
    <r>
      <t>x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successes =</t>
    </r>
  </si>
  <si>
    <r>
      <t>n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=</t>
    </r>
  </si>
  <si>
    <r>
      <t>(n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-x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 failures =</t>
    </r>
  </si>
  <si>
    <r>
      <t>= Value of (</t>
    </r>
    <r>
      <rPr>
        <b/>
        <sz val="12"/>
        <color theme="1"/>
        <rFont val="Symbol"/>
        <family val="1"/>
        <charset val="2"/>
      </rPr>
      <t>m</t>
    </r>
    <r>
      <rPr>
        <b/>
        <vertAlign val="sub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-</t>
    </r>
    <r>
      <rPr>
        <b/>
        <sz val="12"/>
        <color theme="1"/>
        <rFont val="Symbol"/>
        <family val="1"/>
        <charset val="2"/>
      </rPr>
      <t>m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 from the hypotheses</t>
    </r>
  </si>
  <si>
    <r>
      <t>x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successes =</t>
    </r>
  </si>
  <si>
    <r>
      <t>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-x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 failures =</t>
    </r>
  </si>
  <si>
    <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=</t>
    </r>
  </si>
  <si>
    <r>
      <t>phat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=</t>
    </r>
  </si>
  <si>
    <r>
      <t>qhat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=</t>
    </r>
  </si>
  <si>
    <r>
      <t>phat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=</t>
    </r>
  </si>
  <si>
    <r>
      <t>qhat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=</t>
    </r>
  </si>
  <si>
    <r>
      <t>Test statistic:  If the value of (p</t>
    </r>
    <r>
      <rPr>
        <b/>
        <vertAlign val="sub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-p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</si>
  <si>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t>from the hypotheses is not "zero"</t>
  </si>
  <si>
    <r>
      <t>= Value of (p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-p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 from the hypotheses</t>
    </r>
  </si>
  <si>
    <t xml:space="preserve">Value of test statistic = </t>
  </si>
  <si>
    <r>
      <t xml:space="preserve"> = Z</t>
    </r>
    <r>
      <rPr>
        <b/>
        <vertAlign val="subscript"/>
        <sz val="12"/>
        <color theme="1"/>
        <rFont val="Symbol"/>
        <family val="1"/>
        <charset val="2"/>
      </rPr>
      <t>a</t>
    </r>
    <r>
      <rPr>
        <b/>
        <vertAlign val="subscript"/>
        <sz val="12"/>
        <color theme="1"/>
        <rFont val="Calibri Light"/>
        <family val="2"/>
      </rPr>
      <t>/2</t>
    </r>
  </si>
  <si>
    <t xml:space="preserve"> , </t>
  </si>
  <si>
    <t>Correlation</t>
  </si>
  <si>
    <t>Data:</t>
  </si>
  <si>
    <t>Formulas for "r"</t>
  </si>
  <si>
    <r>
      <t>intercept, b</t>
    </r>
    <r>
      <rPr>
        <b/>
        <vertAlign val="subscript"/>
        <sz val="12"/>
        <color theme="1"/>
        <rFont val="Arial"/>
        <family val="2"/>
      </rPr>
      <t>0</t>
    </r>
    <r>
      <rPr>
        <b/>
        <sz val="12"/>
        <color theme="1"/>
        <rFont val="Arial"/>
        <family val="2"/>
      </rPr>
      <t xml:space="preserve"> =</t>
    </r>
  </si>
  <si>
    <t>For data as (x,y) coordinates (up to 50 pairs)</t>
  </si>
  <si>
    <r>
      <t>slope, b</t>
    </r>
    <r>
      <rPr>
        <b/>
        <vertAlign val="sub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=</t>
    </r>
  </si>
  <si>
    <t>Regression Formulas</t>
  </si>
  <si>
    <t>Categories</t>
  </si>
  <si>
    <t>Counts</t>
  </si>
  <si>
    <t>Expected</t>
  </si>
  <si>
    <t>Observed</t>
  </si>
  <si>
    <t>total variation in y =</t>
  </si>
  <si>
    <t>explained variation in y =</t>
  </si>
  <si>
    <t>unexplained variation in y =</t>
  </si>
  <si>
    <t>confidence level =</t>
  </si>
  <si>
    <r>
      <t>S</t>
    </r>
    <r>
      <rPr>
        <b/>
        <vertAlign val="subscript"/>
        <sz val="12"/>
        <color theme="1"/>
        <rFont val="Arial"/>
        <family val="2"/>
      </rPr>
      <t>e</t>
    </r>
    <r>
      <rPr>
        <b/>
        <sz val="12"/>
        <color theme="1"/>
        <rFont val="Arial"/>
        <family val="2"/>
      </rPr>
      <t xml:space="preserve"> =</t>
    </r>
  </si>
  <si>
    <r>
      <t>t</t>
    </r>
    <r>
      <rPr>
        <b/>
        <vertAlign val="subscript"/>
        <sz val="12"/>
        <color theme="1"/>
        <rFont val="Symbol"/>
        <family val="1"/>
        <charset val="2"/>
      </rPr>
      <t>a</t>
    </r>
    <r>
      <rPr>
        <b/>
        <vertAlign val="subscript"/>
        <sz val="12"/>
        <color theme="1"/>
        <rFont val="Calibri Light"/>
        <family val="2"/>
      </rPr>
      <t>/2</t>
    </r>
    <r>
      <rPr>
        <b/>
        <sz val="12"/>
        <color theme="1"/>
        <rFont val="Arial"/>
        <family val="2"/>
      </rPr>
      <t xml:space="preserve"> =</t>
    </r>
  </si>
  <si>
    <r>
      <rPr>
        <b/>
        <sz val="12"/>
        <color theme="1"/>
        <rFont val="Symbol"/>
        <family val="1"/>
        <charset val="2"/>
      </rPr>
      <t>a</t>
    </r>
    <r>
      <rPr>
        <b/>
        <sz val="12"/>
        <color theme="1"/>
        <rFont val="Arial"/>
        <family val="2"/>
      </rPr>
      <t xml:space="preserve"> =</t>
    </r>
  </si>
  <si>
    <r>
      <rPr>
        <b/>
        <sz val="12"/>
        <color theme="1"/>
        <rFont val="Symbol"/>
        <family val="1"/>
        <charset val="2"/>
      </rPr>
      <t>a</t>
    </r>
    <r>
      <rPr>
        <b/>
        <sz val="12"/>
        <color theme="1"/>
        <rFont val="Arial"/>
        <family val="2"/>
      </rPr>
      <t>/2 =</t>
    </r>
  </si>
  <si>
    <t>correlation, r =</t>
  </si>
  <si>
    <t>df = (n - 2) =</t>
  </si>
  <si>
    <t xml:space="preserve"> =</t>
  </si>
  <si>
    <r>
      <t>S</t>
    </r>
    <r>
      <rPr>
        <b/>
        <vertAlign val="subscript"/>
        <sz val="12"/>
        <color theme="1"/>
        <rFont val="Arial"/>
        <family val="2"/>
      </rPr>
      <t>e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/ </t>
    </r>
    <r>
      <rPr>
        <b/>
        <sz val="12"/>
        <color theme="1"/>
        <rFont val="Arial"/>
        <family val="2"/>
      </rPr>
      <t xml:space="preserve">                = S </t>
    </r>
    <r>
      <rPr>
        <b/>
        <vertAlign val="subscript"/>
        <sz val="12"/>
        <color theme="1"/>
        <rFont val="Arial"/>
        <family val="2"/>
      </rPr>
      <t>b1</t>
    </r>
    <r>
      <rPr>
        <b/>
        <sz val="12"/>
        <color theme="1"/>
        <rFont val="Arial"/>
        <family val="2"/>
      </rPr>
      <t xml:space="preserve"> =</t>
    </r>
  </si>
  <si>
    <t>Multinomial or Goodness-of-Fit</t>
  </si>
  <si>
    <t>Rates or</t>
  </si>
  <si>
    <t>Proportions</t>
  </si>
  <si>
    <t xml:space="preserve">Column   </t>
  </si>
  <si>
    <t>sums =</t>
  </si>
  <si>
    <t>Critical Value =</t>
  </si>
  <si>
    <r>
      <rPr>
        <b/>
        <sz val="12"/>
        <color theme="1"/>
        <rFont val="Symbol"/>
        <family val="1"/>
        <charset val="2"/>
      </rPr>
      <t>1 - a</t>
    </r>
    <r>
      <rPr>
        <b/>
        <sz val="12"/>
        <color theme="1"/>
        <rFont val="Arial"/>
        <family val="2"/>
      </rPr>
      <t xml:space="preserve"> =</t>
    </r>
  </si>
  <si>
    <t>Always a "right-tailed" test.</t>
  </si>
  <si>
    <t>Test Statistic</t>
  </si>
  <si>
    <t>Regression</t>
  </si>
  <si>
    <t>For data that are "counts", where each count belongs to two categories at the same time.</t>
  </si>
  <si>
    <t>For data that are "counts", where each count belongs to only one category.</t>
  </si>
  <si>
    <t>Row</t>
  </si>
  <si>
    <t>Category</t>
  </si>
  <si>
    <t>Total</t>
  </si>
  <si>
    <t>Column Category</t>
  </si>
  <si>
    <t>Contingency Tables (up to 20 rows and 20 columns): Tests of Independence and Homogeneity</t>
  </si>
  <si>
    <t>Observed Counts</t>
  </si>
  <si>
    <t>num_rows =</t>
  </si>
  <si>
    <t>num_cols =</t>
  </si>
  <si>
    <t>Expected Counts</t>
  </si>
  <si>
    <t>Contributions to test statistic</t>
  </si>
  <si>
    <t>Valid for testing if all of the relevant "expected counts" are at least 5.</t>
  </si>
  <si>
    <t>Valid??</t>
  </si>
  <si>
    <t>Col</t>
  </si>
  <si>
    <t>from the hypotheses is "zero"</t>
  </si>
  <si>
    <r>
      <t xml:space="preserve">Confidence Interval for the slope, </t>
    </r>
    <r>
      <rPr>
        <b/>
        <sz val="12"/>
        <color theme="1"/>
        <rFont val="Symbol"/>
        <family val="1"/>
        <charset val="2"/>
      </rPr>
      <t>b</t>
    </r>
    <r>
      <rPr>
        <b/>
        <sz val="12"/>
        <color theme="1"/>
        <rFont val="Arial"/>
        <family val="2"/>
      </rPr>
      <t>1</t>
    </r>
  </si>
  <si>
    <r>
      <t xml:space="preserve">Hypothesis Test for the slope, </t>
    </r>
    <r>
      <rPr>
        <b/>
        <sz val="12"/>
        <color theme="1"/>
        <rFont val="Symbol"/>
        <family val="1"/>
        <charset val="2"/>
      </rPr>
      <t>b</t>
    </r>
    <r>
      <rPr>
        <b/>
        <sz val="12"/>
        <color theme="1"/>
        <rFont val="Arial"/>
        <family val="2"/>
      </rPr>
      <t>1</t>
    </r>
  </si>
  <si>
    <r>
      <t xml:space="preserve"> &lt; </t>
    </r>
    <r>
      <rPr>
        <b/>
        <sz val="12"/>
        <color theme="1"/>
        <rFont val="Symbol"/>
        <family val="1"/>
        <charset val="2"/>
      </rPr>
      <t>b</t>
    </r>
    <r>
      <rPr>
        <b/>
        <sz val="12"/>
        <color theme="1"/>
        <rFont val="Arial"/>
        <family val="2"/>
      </rPr>
      <t xml:space="preserve">1 &lt;  </t>
    </r>
  </si>
  <si>
    <t>If the hypothesized</t>
  </si>
  <si>
    <r>
      <t xml:space="preserve">value for </t>
    </r>
    <r>
      <rPr>
        <b/>
        <sz val="12"/>
        <color theme="1"/>
        <rFont val="Symbol"/>
        <family val="1"/>
        <charset val="2"/>
      </rPr>
      <t>b</t>
    </r>
    <r>
      <rPr>
        <b/>
        <vertAlign val="sub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is "zero",</t>
    </r>
  </si>
  <si>
    <t>then this test is</t>
  </si>
  <si>
    <t>equivalent to a test</t>
  </si>
  <si>
    <t>of correlation with a</t>
  </si>
  <si>
    <t>hypothesized value</t>
  </si>
  <si>
    <t>of "zero".</t>
  </si>
  <si>
    <t>Regression tab.</t>
  </si>
  <si>
    <t>Hypothesis Test for "   "</t>
  </si>
  <si>
    <t>If the hypothesized value for    is "0",</t>
  </si>
  <si>
    <r>
      <t xml:space="preserve">then see "Hypothesis Test" for </t>
    </r>
    <r>
      <rPr>
        <b/>
        <sz val="12"/>
        <color theme="1"/>
        <rFont val="Symbol"/>
        <family val="1"/>
        <charset val="2"/>
      </rPr>
      <t>b</t>
    </r>
    <r>
      <rPr>
        <b/>
        <vertAlign val="sub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in the </t>
    </r>
  </si>
  <si>
    <t>Hypothesized value =</t>
  </si>
  <si>
    <t>Value of test statistic =</t>
  </si>
  <si>
    <t>test</t>
  </si>
  <si>
    <t>Two tail</t>
  </si>
  <si>
    <t>Right tail</t>
  </si>
  <si>
    <t>lower limit</t>
  </si>
  <si>
    <t>upper limit</t>
  </si>
  <si>
    <r>
      <t xml:space="preserve">&lt;   </t>
    </r>
    <r>
      <rPr>
        <b/>
        <sz val="12"/>
        <color theme="1"/>
        <rFont val="Symbol"/>
        <family val="1"/>
        <charset val="2"/>
      </rPr>
      <t>s</t>
    </r>
    <r>
      <rPr>
        <b/>
        <sz val="12"/>
        <color theme="1"/>
        <rFont val="Arial"/>
        <family val="2"/>
      </rPr>
      <t xml:space="preserve">   &lt;</t>
    </r>
  </si>
  <si>
    <t xml:space="preserve"> ]</t>
  </si>
  <si>
    <t xml:space="preserve">[ </t>
  </si>
  <si>
    <t>= mean   = np</t>
  </si>
  <si>
    <t>= standard deviation   = sqrt(npq).</t>
  </si>
  <si>
    <t>= Z   =  (X-mean) / 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</si>
</sst>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0"/>
    <numFmt numFmtId="165" formatCode="0.0"/>
    <numFmt numFmtId="166" formatCode="0.00000"/>
    <numFmt numFmtId="167" formatCode="0.000000"/>
    <numFmt numFmtId="168" formatCode="0.000"/>
    <numFmt numFmtId="169" formatCode="_(* #,##0.000000_);_(* \(#,##0.000000\);_(* &quot;-&quot;??_);_(@_)"/>
  </numFmts>
  <fonts count="2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Symbol"/>
      <family val="1"/>
      <charset val="2"/>
    </font>
    <font>
      <b/>
      <vertAlign val="subscript"/>
      <sz val="12"/>
      <color theme="1"/>
      <name val="Symbol"/>
      <family val="1"/>
      <charset val="2"/>
    </font>
    <font>
      <b/>
      <vertAlign val="subscript"/>
      <sz val="12"/>
      <color theme="1"/>
      <name val="Arial"/>
      <family val="2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</font>
    <font>
      <sz val="12"/>
      <color theme="1"/>
      <name val="Arial"/>
      <family val="2"/>
    </font>
    <font>
      <b/>
      <vertAlign val="subscript"/>
      <sz val="12"/>
      <color theme="1"/>
      <name val="Calibri Light"/>
      <family val="2"/>
    </font>
    <font>
      <vertAlign val="subscript"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12"/>
      <color theme="1"/>
      <name val="Calibri Light"/>
      <family val="2"/>
    </font>
    <font>
      <vertAlign val="subscript"/>
      <sz val="12"/>
      <color theme="1"/>
      <name val="Symbol"/>
      <family val="1"/>
      <charset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4" fontId="21" fillId="0" borderId="0"/>
  </cellStyleXfs>
  <cellXfs count="3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0" fontId="0" fillId="0" borderId="0" xfId="0" applyBorder="1"/>
    <xf numFmtId="0" fontId="0" fillId="0" borderId="3" xfId="0" applyBorder="1"/>
    <xf numFmtId="0" fontId="0" fillId="0" borderId="11" xfId="0" applyBorder="1"/>
    <xf numFmtId="0" fontId="0" fillId="0" borderId="4" xfId="0" applyBorder="1"/>
    <xf numFmtId="0" fontId="0" fillId="2" borderId="12" xfId="0" applyFill="1" applyBorder="1"/>
    <xf numFmtId="0" fontId="0" fillId="2" borderId="5" xfId="0" applyFill="1" applyBorder="1"/>
    <xf numFmtId="0" fontId="0" fillId="2" borderId="6" xfId="0" applyFill="1" applyBorder="1"/>
    <xf numFmtId="9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4" xfId="0" quotePrefix="1" applyBorder="1"/>
    <xf numFmtId="0" fontId="0" fillId="0" borderId="11" xfId="0" applyBorder="1" applyAlignment="1">
      <alignment horizontal="center"/>
    </xf>
    <xf numFmtId="0" fontId="0" fillId="0" borderId="7" xfId="0" quotePrefix="1" applyBorder="1"/>
    <xf numFmtId="0" fontId="0" fillId="0" borderId="8" xfId="0" quotePrefix="1" applyBorder="1"/>
    <xf numFmtId="0" fontId="0" fillId="0" borderId="0" xfId="0" applyAlignment="1">
      <alignment horizontal="left"/>
    </xf>
    <xf numFmtId="0" fontId="0" fillId="0" borderId="0" xfId="0" quotePrefix="1" applyBorder="1"/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quotePrefix="1" applyFill="1"/>
    <xf numFmtId="0" fontId="2" fillId="2" borderId="0" xfId="0" applyFont="1" applyFill="1" applyAlignment="1">
      <alignment horizontal="center"/>
    </xf>
    <xf numFmtId="0" fontId="2" fillId="0" borderId="0" xfId="0" quotePrefix="1" applyFont="1"/>
    <xf numFmtId="168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quotePrefix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5" borderId="0" xfId="0" applyFill="1"/>
    <xf numFmtId="0" fontId="0" fillId="6" borderId="0" xfId="0" applyFill="1"/>
    <xf numFmtId="0" fontId="2" fillId="6" borderId="0" xfId="0" applyFont="1" applyFill="1"/>
    <xf numFmtId="0" fontId="0" fillId="0" borderId="0" xfId="0" quotePrefix="1" applyAlignment="1">
      <alignment horizontal="left"/>
    </xf>
    <xf numFmtId="0" fontId="0" fillId="5" borderId="0" xfId="0" applyFill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0" xfId="1" quotePrefix="1" applyFont="1" applyAlignment="1">
      <alignment horizontal="right"/>
    </xf>
    <xf numFmtId="0" fontId="7" fillId="0" borderId="0" xfId="1" quotePrefix="1" applyFont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6" borderId="0" xfId="1" applyFont="1" applyFill="1" applyAlignment="1">
      <alignment horizontal="center"/>
    </xf>
    <xf numFmtId="0" fontId="7" fillId="6" borderId="0" xfId="1" applyFont="1" applyFill="1"/>
    <xf numFmtId="0" fontId="9" fillId="0" borderId="0" xfId="1" applyFont="1" applyAlignment="1">
      <alignment horizontal="center"/>
    </xf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center"/>
    </xf>
    <xf numFmtId="0" fontId="9" fillId="0" borderId="0" xfId="1" applyFont="1"/>
    <xf numFmtId="0" fontId="9" fillId="0" borderId="0" xfId="1" quotePrefix="1" applyFont="1"/>
    <xf numFmtId="0" fontId="1" fillId="0" borderId="0" xfId="1" quotePrefix="1" applyAlignment="1">
      <alignment horizontal="center"/>
    </xf>
    <xf numFmtId="0" fontId="9" fillId="6" borderId="0" xfId="1" applyFont="1" applyFill="1"/>
    <xf numFmtId="0" fontId="1" fillId="6" borderId="0" xfId="1" applyFill="1" applyAlignment="1">
      <alignment horizontal="center"/>
    </xf>
    <xf numFmtId="0" fontId="1" fillId="6" borderId="0" xfId="1" quotePrefix="1" applyFill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7" xfId="0" quotePrefix="1" applyFont="1" applyBorder="1"/>
    <xf numFmtId="0" fontId="2" fillId="0" borderId="12" xfId="0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8" xfId="0" quotePrefix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4" borderId="0" xfId="0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10" xfId="0" applyFont="1" applyBorder="1" applyAlignment="1">
      <alignment horizontal="center"/>
    </xf>
    <xf numFmtId="0" fontId="2" fillId="0" borderId="0" xfId="0" quotePrefix="1" applyFont="1" applyBorder="1"/>
    <xf numFmtId="0" fontId="2" fillId="0" borderId="0" xfId="0" applyFont="1" applyBorder="1"/>
    <xf numFmtId="0" fontId="2" fillId="0" borderId="8" xfId="0" applyFont="1" applyBorder="1"/>
    <xf numFmtId="0" fontId="0" fillId="0" borderId="0" xfId="0" quotePrefix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169" fontId="2" fillId="2" borderId="0" xfId="2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1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168" fontId="0" fillId="0" borderId="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quotePrefix="1" applyBorder="1"/>
    <xf numFmtId="0" fontId="0" fillId="0" borderId="8" xfId="0" applyBorder="1" applyAlignment="1">
      <alignment horizontal="center"/>
    </xf>
    <xf numFmtId="0" fontId="2" fillId="3" borderId="0" xfId="0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/>
    <xf numFmtId="0" fontId="0" fillId="2" borderId="0" xfId="0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0" fillId="0" borderId="4" xfId="0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/>
    <xf numFmtId="0" fontId="14" fillId="0" borderId="2" xfId="0" applyFont="1" applyFill="1" applyBorder="1" applyAlignment="1">
      <alignment horizontal="center"/>
    </xf>
    <xf numFmtId="0" fontId="0" fillId="0" borderId="11" xfId="0" applyFill="1" applyBorder="1"/>
    <xf numFmtId="0" fontId="15" fillId="0" borderId="9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8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quotePrefix="1" applyBorder="1" applyAlignment="1">
      <alignment horizontal="center"/>
    </xf>
    <xf numFmtId="168" fontId="0" fillId="2" borderId="3" xfId="0" applyNumberFormat="1" applyFill="1" applyBorder="1"/>
    <xf numFmtId="168" fontId="0" fillId="2" borderId="2" xfId="0" applyNumberFormat="1" applyFill="1" applyBorder="1" applyAlignment="1">
      <alignment horizontal="center"/>
    </xf>
    <xf numFmtId="168" fontId="0" fillId="2" borderId="2" xfId="0" applyNumberForma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0" borderId="12" xfId="0" applyBorder="1"/>
    <xf numFmtId="0" fontId="0" fillId="2" borderId="10" xfId="0" applyFill="1" applyBorder="1" applyAlignment="1">
      <alignment horizontal="center"/>
    </xf>
    <xf numFmtId="0" fontId="0" fillId="8" borderId="0" xfId="0" applyFill="1" applyBorder="1"/>
    <xf numFmtId="0" fontId="0" fillId="8" borderId="0" xfId="0" applyFill="1"/>
    <xf numFmtId="0" fontId="0" fillId="8" borderId="9" xfId="0" applyFill="1" applyBorder="1"/>
    <xf numFmtId="0" fontId="0" fillId="8" borderId="7" xfId="0" applyFill="1" applyBorder="1"/>
    <xf numFmtId="0" fontId="0" fillId="8" borderId="2" xfId="0" applyFill="1" applyBorder="1"/>
    <xf numFmtId="0" fontId="0" fillId="8" borderId="10" xfId="0" applyFill="1" applyBorder="1"/>
    <xf numFmtId="0" fontId="0" fillId="8" borderId="3" xfId="0" applyFill="1" applyBorder="1"/>
    <xf numFmtId="0" fontId="0" fillId="8" borderId="11" xfId="0" applyFill="1" applyBorder="1"/>
    <xf numFmtId="0" fontId="0" fillId="8" borderId="0" xfId="0" quotePrefix="1" applyFill="1" applyBorder="1" applyAlignment="1">
      <alignment horizontal="center"/>
    </xf>
    <xf numFmtId="0" fontId="0" fillId="8" borderId="8" xfId="0" applyFill="1" applyBorder="1"/>
    <xf numFmtId="0" fontId="0" fillId="8" borderId="4" xfId="0" applyFill="1" applyBorder="1"/>
    <xf numFmtId="2" fontId="0" fillId="2" borderId="3" xfId="0" applyNumberFormat="1" applyFill="1" applyBorder="1" applyAlignment="1">
      <alignment horizontal="center"/>
    </xf>
    <xf numFmtId="2" fontId="0" fillId="2" borderId="3" xfId="0" applyNumberFormat="1" applyFill="1" applyBorder="1"/>
    <xf numFmtId="2" fontId="0" fillId="2" borderId="2" xfId="0" applyNumberFormat="1" applyFill="1" applyBorder="1"/>
    <xf numFmtId="2" fontId="0" fillId="2" borderId="2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2" borderId="1" xfId="0" applyFill="1" applyBorder="1"/>
    <xf numFmtId="0" fontId="0" fillId="3" borderId="6" xfId="0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168" fontId="0" fillId="3" borderId="7" xfId="0" applyNumberFormat="1" applyFill="1" applyBorder="1" applyAlignment="1">
      <alignment horizontal="center"/>
    </xf>
    <xf numFmtId="168" fontId="0" fillId="3" borderId="2" xfId="0" applyNumberFormat="1" applyFill="1" applyBorder="1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168" fontId="0" fillId="3" borderId="3" xfId="0" applyNumberFormat="1" applyFill="1" applyBorder="1" applyAlignment="1">
      <alignment horizontal="center"/>
    </xf>
    <xf numFmtId="168" fontId="0" fillId="3" borderId="10" xfId="0" applyNumberFormat="1" applyFill="1" applyBorder="1" applyAlignment="1">
      <alignment horizontal="center"/>
    </xf>
    <xf numFmtId="168" fontId="0" fillId="3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9" xfId="0" applyBorder="1" applyAlignment="1">
      <alignment horizontal="left" indent="2"/>
    </xf>
    <xf numFmtId="0" fontId="0" fillId="0" borderId="11" xfId="0" applyFill="1" applyBorder="1" applyAlignment="1">
      <alignment horizontal="left" indent="2"/>
    </xf>
    <xf numFmtId="1" fontId="0" fillId="2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0" fontId="2" fillId="0" borderId="0" xfId="0" quotePrefix="1" applyFont="1" applyAlignment="1">
      <alignment horizontal="right"/>
    </xf>
    <xf numFmtId="0" fontId="0" fillId="0" borderId="13" xfId="0" applyBorder="1"/>
    <xf numFmtId="165" fontId="2" fillId="0" borderId="15" xfId="0" applyNumberFormat="1" applyFont="1" applyBorder="1" applyAlignment="1">
      <alignment horizontal="center"/>
    </xf>
    <xf numFmtId="0" fontId="2" fillId="0" borderId="14" xfId="0" applyFont="1" applyBorder="1"/>
    <xf numFmtId="165" fontId="14" fillId="3" borderId="4" xfId="0" applyNumberFormat="1" applyFont="1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68" fontId="0" fillId="3" borderId="6" xfId="0" applyNumberFormat="1" applyFill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0" fontId="0" fillId="0" borderId="14" xfId="0" quotePrefix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3" borderId="8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2" fillId="0" borderId="0" xfId="0" quotePrefix="1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0" fillId="0" borderId="0" xfId="0" applyFill="1" applyBorder="1" applyAlignment="1"/>
    <xf numFmtId="0" fontId="0" fillId="0" borderId="12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5" xfId="0" quotePrefix="1" applyFont="1" applyFill="1" applyBorder="1" applyAlignment="1">
      <alignment horizontal="left"/>
    </xf>
    <xf numFmtId="0" fontId="0" fillId="0" borderId="15" xfId="0" applyFont="1" applyBorder="1" applyAlignment="1">
      <alignment horizontal="center"/>
    </xf>
    <xf numFmtId="0" fontId="0" fillId="0" borderId="14" xfId="0" applyFont="1" applyBorder="1"/>
    <xf numFmtId="0" fontId="0" fillId="0" borderId="14" xfId="0" quotePrefix="1" applyFont="1" applyBorder="1" applyAlignment="1">
      <alignment horizontal="left"/>
    </xf>
    <xf numFmtId="0" fontId="0" fillId="0" borderId="0" xfId="0" applyFont="1" applyBorder="1"/>
    <xf numFmtId="0" fontId="2" fillId="0" borderId="10" xfId="0" applyFont="1" applyBorder="1"/>
    <xf numFmtId="0" fontId="0" fillId="0" borderId="11" xfId="0" quotePrefix="1" applyBorder="1" applyAlignment="1">
      <alignment horizontal="center"/>
    </xf>
    <xf numFmtId="0" fontId="0" fillId="0" borderId="3" xfId="0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168" fontId="2" fillId="0" borderId="0" xfId="0" applyNumberFormat="1" applyFont="1" applyBorder="1" applyAlignment="1">
      <alignment horizont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2" xfId="0" applyBorder="1" applyAlignment="1"/>
    <xf numFmtId="168" fontId="2" fillId="0" borderId="3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8" fillId="0" borderId="0" xfId="0" applyFon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ont="1" applyFill="1" applyBorder="1"/>
    <xf numFmtId="0" fontId="0" fillId="3" borderId="7" xfId="0" applyFont="1" applyFill="1" applyBorder="1"/>
    <xf numFmtId="0" fontId="0" fillId="3" borderId="2" xfId="0" applyFont="1" applyFill="1" applyBorder="1"/>
    <xf numFmtId="0" fontId="0" fillId="3" borderId="11" xfId="0" applyFont="1" applyFill="1" applyBorder="1"/>
    <xf numFmtId="0" fontId="0" fillId="3" borderId="8" xfId="0" applyFont="1" applyFill="1" applyBorder="1"/>
    <xf numFmtId="0" fontId="0" fillId="3" borderId="4" xfId="0" applyFont="1" applyFill="1" applyBorder="1"/>
    <xf numFmtId="0" fontId="0" fillId="0" borderId="0" xfId="0" quotePrefix="1" applyAlignment="1">
      <alignment horizontal="right"/>
    </xf>
    <xf numFmtId="0" fontId="2" fillId="0" borderId="0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3" borderId="0" xfId="0" applyNumberFormat="1" applyFont="1" applyFill="1"/>
    <xf numFmtId="0" fontId="2" fillId="0" borderId="3" xfId="0" applyFont="1" applyBorder="1"/>
    <xf numFmtId="164" fontId="2" fillId="0" borderId="3" xfId="0" applyNumberFormat="1" applyFont="1" applyBorder="1"/>
    <xf numFmtId="0" fontId="19" fillId="0" borderId="0" xfId="0" applyFont="1" applyBorder="1" applyAlignment="1">
      <alignment horizontal="center"/>
    </xf>
    <xf numFmtId="166" fontId="2" fillId="3" borderId="0" xfId="0" applyNumberFormat="1" applyFont="1" applyFill="1"/>
    <xf numFmtId="164" fontId="2" fillId="0" borderId="0" xfId="0" applyNumberFormat="1" applyFont="1"/>
    <xf numFmtId="168" fontId="2" fillId="0" borderId="0" xfId="0" applyNumberFormat="1" applyFont="1"/>
    <xf numFmtId="0" fontId="2" fillId="0" borderId="8" xfId="0" applyFont="1" applyBorder="1" applyAlignment="1">
      <alignment horizontal="right"/>
    </xf>
    <xf numFmtId="0" fontId="0" fillId="9" borderId="0" xfId="0" applyFill="1"/>
    <xf numFmtId="0" fontId="2" fillId="9" borderId="0" xfId="0" applyFont="1" applyFill="1" applyAlignment="1">
      <alignment horizontal="right"/>
    </xf>
    <xf numFmtId="0" fontId="0" fillId="9" borderId="8" xfId="0" applyFill="1" applyBorder="1"/>
    <xf numFmtId="0" fontId="0" fillId="3" borderId="0" xfId="0" applyFont="1" applyFill="1" applyBorder="1"/>
    <xf numFmtId="0" fontId="0" fillId="3" borderId="8" xfId="0" applyFill="1" applyBorder="1"/>
    <xf numFmtId="0" fontId="0" fillId="3" borderId="0" xfId="0" applyFill="1" applyBorder="1"/>
    <xf numFmtId="164" fontId="2" fillId="0" borderId="0" xfId="0" applyNumberFormat="1" applyFont="1" applyBorder="1"/>
    <xf numFmtId="0" fontId="0" fillId="9" borderId="0" xfId="0" applyFill="1" applyBorder="1"/>
    <xf numFmtId="0" fontId="2" fillId="9" borderId="0" xfId="0" applyFont="1" applyFill="1" applyBorder="1" applyAlignment="1">
      <alignment horizontal="right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0" fillId="9" borderId="10" xfId="0" applyFill="1" applyBorder="1"/>
    <xf numFmtId="0" fontId="0" fillId="9" borderId="11" xfId="0" applyFill="1" applyBorder="1"/>
    <xf numFmtId="0" fontId="2" fillId="0" borderId="0" xfId="0" applyFont="1" applyFill="1" applyBorder="1" applyAlignment="1"/>
    <xf numFmtId="0" fontId="20" fillId="0" borderId="0" xfId="0" applyFont="1"/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164" fontId="2" fillId="0" borderId="0" xfId="0" applyNumberFormat="1" applyFont="1" applyBorder="1" applyAlignment="1"/>
    <xf numFmtId="0" fontId="2" fillId="2" borderId="1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164" fontId="2" fillId="0" borderId="6" xfId="0" applyNumberFormat="1" applyFont="1" applyBorder="1" applyAlignment="1">
      <alignment horizontal="center"/>
    </xf>
    <xf numFmtId="164" fontId="2" fillId="3" borderId="0" xfId="0" applyNumberFormat="1" applyFont="1" applyFill="1" applyBorder="1"/>
    <xf numFmtId="0" fontId="0" fillId="2" borderId="0" xfId="0" applyFill="1" applyBorder="1"/>
    <xf numFmtId="164" fontId="2" fillId="3" borderId="4" xfId="0" applyNumberFormat="1" applyFont="1" applyFill="1" applyBorder="1"/>
    <xf numFmtId="164" fontId="0" fillId="0" borderId="7" xfId="0" applyNumberFormat="1" applyBorder="1"/>
    <xf numFmtId="166" fontId="0" fillId="3" borderId="2" xfId="0" applyNumberForma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0" xfId="0" quotePrefix="1" applyFont="1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4">
    <cellStyle name="Comma" xfId="2" builtinId="3"/>
    <cellStyle name="Comm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wmf"/><Relationship Id="rId1" Type="http://schemas.openxmlformats.org/officeDocument/2006/relationships/image" Target="../media/image15.wmf"/></Relationships>
</file>

<file path=xl/drawings/_rels/vmlDrawing1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4.wmf"/><Relationship Id="rId3" Type="http://schemas.openxmlformats.org/officeDocument/2006/relationships/image" Target="../media/image19.wmf"/><Relationship Id="rId7" Type="http://schemas.openxmlformats.org/officeDocument/2006/relationships/image" Target="../media/image23.wmf"/><Relationship Id="rId2" Type="http://schemas.openxmlformats.org/officeDocument/2006/relationships/image" Target="../media/image18.wmf"/><Relationship Id="rId1" Type="http://schemas.openxmlformats.org/officeDocument/2006/relationships/image" Target="../media/image17.wmf"/><Relationship Id="rId6" Type="http://schemas.openxmlformats.org/officeDocument/2006/relationships/image" Target="../media/image22.wmf"/><Relationship Id="rId5" Type="http://schemas.openxmlformats.org/officeDocument/2006/relationships/image" Target="../media/image21.wmf"/><Relationship Id="rId4" Type="http://schemas.openxmlformats.org/officeDocument/2006/relationships/image" Target="../media/image20.w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9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w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wmf"/><Relationship Id="rId2" Type="http://schemas.openxmlformats.org/officeDocument/2006/relationships/image" Target="../media/image12.wmf"/><Relationship Id="rId1" Type="http://schemas.openxmlformats.org/officeDocument/2006/relationships/image" Target="../media/image11.wmf"/><Relationship Id="rId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3</xdr:row>
      <xdr:rowOff>76200</xdr:rowOff>
    </xdr:from>
    <xdr:to>
      <xdr:col>3</xdr:col>
      <xdr:colOff>152400</xdr:colOff>
      <xdr:row>5</xdr:row>
      <xdr:rowOff>19050</xdr:rowOff>
    </xdr:to>
    <xdr:sp macro="" textlink="">
      <xdr:nvSpPr>
        <xdr:cNvPr id="2" name="TextBox 1"/>
        <xdr:cNvSpPr txBox="1"/>
      </xdr:nvSpPr>
      <xdr:spPr>
        <a:xfrm>
          <a:off x="2171700" y="647700"/>
          <a:ext cx="2667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a</a:t>
          </a:r>
        </a:p>
      </xdr:txBody>
    </xdr:sp>
    <xdr:clientData/>
  </xdr:twoCellAnchor>
  <xdr:twoCellAnchor>
    <xdr:from>
      <xdr:col>6</xdr:col>
      <xdr:colOff>628650</xdr:colOff>
      <xdr:row>3</xdr:row>
      <xdr:rowOff>28576</xdr:rowOff>
    </xdr:from>
    <xdr:to>
      <xdr:col>7</xdr:col>
      <xdr:colOff>114300</xdr:colOff>
      <xdr:row>4</xdr:row>
      <xdr:rowOff>161926</xdr:rowOff>
    </xdr:to>
    <xdr:sp macro="" textlink="">
      <xdr:nvSpPr>
        <xdr:cNvPr id="3" name="TextBox 2"/>
        <xdr:cNvSpPr txBox="1"/>
      </xdr:nvSpPr>
      <xdr:spPr>
        <a:xfrm flipH="1">
          <a:off x="5200650" y="600076"/>
          <a:ext cx="2476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b</a:t>
          </a:r>
        </a:p>
      </xdr:txBody>
    </xdr:sp>
    <xdr:clientData/>
  </xdr:twoCellAnchor>
  <xdr:twoCellAnchor>
    <xdr:from>
      <xdr:col>3</xdr:col>
      <xdr:colOff>647700</xdr:colOff>
      <xdr:row>3</xdr:row>
      <xdr:rowOff>76200</xdr:rowOff>
    </xdr:from>
    <xdr:to>
      <xdr:col>4</xdr:col>
      <xdr:colOff>152400</xdr:colOff>
      <xdr:row>5</xdr:row>
      <xdr:rowOff>19050</xdr:rowOff>
    </xdr:to>
    <xdr:sp macro="" textlink="">
      <xdr:nvSpPr>
        <xdr:cNvPr id="4" name="TextBox 3"/>
        <xdr:cNvSpPr txBox="1"/>
      </xdr:nvSpPr>
      <xdr:spPr>
        <a:xfrm>
          <a:off x="2933700" y="647700"/>
          <a:ext cx="2667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c</a:t>
          </a:r>
        </a:p>
      </xdr:txBody>
    </xdr:sp>
    <xdr:clientData/>
  </xdr:twoCellAnchor>
  <xdr:twoCellAnchor>
    <xdr:from>
      <xdr:col>4</xdr:col>
      <xdr:colOff>628650</xdr:colOff>
      <xdr:row>3</xdr:row>
      <xdr:rowOff>76200</xdr:rowOff>
    </xdr:from>
    <xdr:to>
      <xdr:col>5</xdr:col>
      <xdr:colOff>133350</xdr:colOff>
      <xdr:row>5</xdr:row>
      <xdr:rowOff>19050</xdr:rowOff>
    </xdr:to>
    <xdr:sp macro="" textlink="">
      <xdr:nvSpPr>
        <xdr:cNvPr id="5" name="TextBox 4"/>
        <xdr:cNvSpPr txBox="1"/>
      </xdr:nvSpPr>
      <xdr:spPr>
        <a:xfrm>
          <a:off x="3676650" y="647700"/>
          <a:ext cx="2667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d</a:t>
          </a:r>
        </a:p>
      </xdr:txBody>
    </xdr:sp>
    <xdr:clientData/>
  </xdr:twoCellAnchor>
  <xdr:oneCellAnchor>
    <xdr:from>
      <xdr:col>3</xdr:col>
      <xdr:colOff>400050</xdr:colOff>
      <xdr:row>11</xdr:row>
      <xdr:rowOff>57151</xdr:rowOff>
    </xdr:from>
    <xdr:ext cx="2286000" cy="952500"/>
    <xdr:sp macro="" textlink="">
      <xdr:nvSpPr>
        <xdr:cNvPr id="6" name="TextBox 5"/>
        <xdr:cNvSpPr txBox="1"/>
      </xdr:nvSpPr>
      <xdr:spPr>
        <a:xfrm>
          <a:off x="2686050" y="2171701"/>
          <a:ext cx="2286000" cy="952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 b="1"/>
            <a:t>                                  d - c</a:t>
          </a:r>
        </a:p>
        <a:p>
          <a:r>
            <a:rPr lang="en-US" sz="1600" b="1"/>
            <a:t>Prob( c &lt; x &lt; d ) = ---------</a:t>
          </a:r>
        </a:p>
        <a:p>
          <a:r>
            <a:rPr lang="en-US" sz="1600" b="1"/>
            <a:t>                                  b - a</a:t>
          </a:r>
        </a:p>
      </xdr:txBody>
    </xdr:sp>
    <xdr:clientData/>
  </xdr:oneCellAnchor>
  <xdr:twoCellAnchor>
    <xdr:from>
      <xdr:col>9</xdr:col>
      <xdr:colOff>647700</xdr:colOff>
      <xdr:row>3</xdr:row>
      <xdr:rowOff>76200</xdr:rowOff>
    </xdr:from>
    <xdr:to>
      <xdr:col>10</xdr:col>
      <xdr:colOff>152400</xdr:colOff>
      <xdr:row>5</xdr:row>
      <xdr:rowOff>19050</xdr:rowOff>
    </xdr:to>
    <xdr:sp macro="" textlink="">
      <xdr:nvSpPr>
        <xdr:cNvPr id="7" name="TextBox 6"/>
        <xdr:cNvSpPr txBox="1"/>
      </xdr:nvSpPr>
      <xdr:spPr>
        <a:xfrm>
          <a:off x="2171700" y="657225"/>
          <a:ext cx="2667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a</a:t>
          </a:r>
        </a:p>
      </xdr:txBody>
    </xdr:sp>
    <xdr:clientData/>
  </xdr:twoCellAnchor>
  <xdr:twoCellAnchor>
    <xdr:from>
      <xdr:col>13</xdr:col>
      <xdr:colOff>628650</xdr:colOff>
      <xdr:row>3</xdr:row>
      <xdr:rowOff>28576</xdr:rowOff>
    </xdr:from>
    <xdr:to>
      <xdr:col>14</xdr:col>
      <xdr:colOff>114300</xdr:colOff>
      <xdr:row>4</xdr:row>
      <xdr:rowOff>161926</xdr:rowOff>
    </xdr:to>
    <xdr:sp macro="" textlink="">
      <xdr:nvSpPr>
        <xdr:cNvPr id="8" name="TextBox 7"/>
        <xdr:cNvSpPr txBox="1"/>
      </xdr:nvSpPr>
      <xdr:spPr>
        <a:xfrm flipH="1">
          <a:off x="5200650" y="609601"/>
          <a:ext cx="2476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b</a:t>
          </a:r>
        </a:p>
      </xdr:txBody>
    </xdr:sp>
    <xdr:clientData/>
  </xdr:twoCellAnchor>
  <xdr:twoCellAnchor>
    <xdr:from>
      <xdr:col>9</xdr:col>
      <xdr:colOff>657225</xdr:colOff>
      <xdr:row>2</xdr:row>
      <xdr:rowOff>76200</xdr:rowOff>
    </xdr:from>
    <xdr:to>
      <xdr:col>10</xdr:col>
      <xdr:colOff>161925</xdr:colOff>
      <xdr:row>4</xdr:row>
      <xdr:rowOff>28575</xdr:rowOff>
    </xdr:to>
    <xdr:sp macro="" textlink="">
      <xdr:nvSpPr>
        <xdr:cNvPr id="9" name="TextBox 8"/>
        <xdr:cNvSpPr txBox="1"/>
      </xdr:nvSpPr>
      <xdr:spPr>
        <a:xfrm>
          <a:off x="7515225" y="466725"/>
          <a:ext cx="2667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c</a:t>
          </a:r>
        </a:p>
      </xdr:txBody>
    </xdr:sp>
    <xdr:clientData/>
  </xdr:twoCellAnchor>
  <xdr:twoCellAnchor>
    <xdr:from>
      <xdr:col>11</xdr:col>
      <xdr:colOff>628650</xdr:colOff>
      <xdr:row>3</xdr:row>
      <xdr:rowOff>76200</xdr:rowOff>
    </xdr:from>
    <xdr:to>
      <xdr:col>12</xdr:col>
      <xdr:colOff>133350</xdr:colOff>
      <xdr:row>5</xdr:row>
      <xdr:rowOff>19050</xdr:rowOff>
    </xdr:to>
    <xdr:sp macro="" textlink="">
      <xdr:nvSpPr>
        <xdr:cNvPr id="10" name="TextBox 9"/>
        <xdr:cNvSpPr txBox="1"/>
      </xdr:nvSpPr>
      <xdr:spPr>
        <a:xfrm>
          <a:off x="3676650" y="657225"/>
          <a:ext cx="2667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d</a:t>
          </a:r>
        </a:p>
      </xdr:txBody>
    </xdr:sp>
    <xdr:clientData/>
  </xdr:twoCellAnchor>
  <xdr:twoCellAnchor>
    <xdr:from>
      <xdr:col>11</xdr:col>
      <xdr:colOff>619124</xdr:colOff>
      <xdr:row>9</xdr:row>
      <xdr:rowOff>57150</xdr:rowOff>
    </xdr:from>
    <xdr:to>
      <xdr:col>12</xdr:col>
      <xdr:colOff>342899</xdr:colOff>
      <xdr:row>11</xdr:row>
      <xdr:rowOff>9525</xdr:rowOff>
    </xdr:to>
    <xdr:sp macro="" textlink="">
      <xdr:nvSpPr>
        <xdr:cNvPr id="11" name="TextBox 10"/>
        <xdr:cNvSpPr txBox="1"/>
      </xdr:nvSpPr>
      <xdr:spPr>
        <a:xfrm>
          <a:off x="9001124" y="1800225"/>
          <a:ext cx="4857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</a:t>
          </a:r>
          <a:r>
            <a:rPr lang="en-US" sz="1200" b="1"/>
            <a:t>p</a:t>
          </a:r>
        </a:p>
      </xdr:txBody>
    </xdr:sp>
    <xdr:clientData/>
  </xdr:twoCellAnchor>
  <xdr:twoCellAnchor>
    <xdr:from>
      <xdr:col>10</xdr:col>
      <xdr:colOff>257175</xdr:colOff>
      <xdr:row>5</xdr:row>
      <xdr:rowOff>161925</xdr:rowOff>
    </xdr:from>
    <xdr:to>
      <xdr:col>11</xdr:col>
      <xdr:colOff>590550</xdr:colOff>
      <xdr:row>7</xdr:row>
      <xdr:rowOff>114300</xdr:rowOff>
    </xdr:to>
    <xdr:sp macro="" textlink="">
      <xdr:nvSpPr>
        <xdr:cNvPr id="12" name="TextBox 11"/>
        <xdr:cNvSpPr txBox="1"/>
      </xdr:nvSpPr>
      <xdr:spPr>
        <a:xfrm>
          <a:off x="7877175" y="1133475"/>
          <a:ext cx="10953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p-decimal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15</xdr:row>
          <xdr:rowOff>123825</xdr:rowOff>
        </xdr:from>
        <xdr:to>
          <xdr:col>10</xdr:col>
          <xdr:colOff>266700</xdr:colOff>
          <xdr:row>31</xdr:row>
          <xdr:rowOff>76200</xdr:rowOff>
        </xdr:to>
        <xdr:sp macro="" textlink="">
          <xdr:nvSpPr>
            <xdr:cNvPr id="49156" name="Object 4" hidden="1">
              <a:extLst>
                <a:ext uri="{63B3BB69-23CF-44E3-9099-C40C66FF867C}">
                  <a14:compatExt spid="_x0000_s49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2</xdr:row>
          <xdr:rowOff>161925</xdr:rowOff>
        </xdr:from>
        <xdr:to>
          <xdr:col>9</xdr:col>
          <xdr:colOff>304800</xdr:colOff>
          <xdr:row>8</xdr:row>
          <xdr:rowOff>19050</xdr:rowOff>
        </xdr:to>
        <xdr:sp macro="" textlink="">
          <xdr:nvSpPr>
            <xdr:cNvPr id="49157" name="Object 5" hidden="1">
              <a:extLst>
                <a:ext uri="{63B3BB69-23CF-44E3-9099-C40C66FF867C}">
                  <a14:compatExt spid="_x0000_s49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342900</xdr:colOff>
          <xdr:row>35</xdr:row>
          <xdr:rowOff>152400</xdr:rowOff>
        </xdr:from>
        <xdr:to>
          <xdr:col>8</xdr:col>
          <xdr:colOff>561975</xdr:colOff>
          <xdr:row>37</xdr:row>
          <xdr:rowOff>28575</xdr:rowOff>
        </xdr:to>
        <xdr:sp macro="" textlink="">
          <xdr:nvSpPr>
            <xdr:cNvPr id="49158" name="Object 6" hidden="1">
              <a:extLst>
                <a:ext uri="{63B3BB69-23CF-44E3-9099-C40C66FF867C}">
                  <a14:compatExt spid="_x0000_s49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333375</xdr:colOff>
          <xdr:row>37</xdr:row>
          <xdr:rowOff>123825</xdr:rowOff>
        </xdr:from>
        <xdr:to>
          <xdr:col>8</xdr:col>
          <xdr:colOff>561975</xdr:colOff>
          <xdr:row>39</xdr:row>
          <xdr:rowOff>38100</xdr:rowOff>
        </xdr:to>
        <xdr:sp macro="" textlink="">
          <xdr:nvSpPr>
            <xdr:cNvPr id="49159" name="Object 7" hidden="1">
              <a:extLst>
                <a:ext uri="{63B3BB69-23CF-44E3-9099-C40C66FF867C}">
                  <a14:compatExt spid="_x0000_s49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1</xdr:row>
          <xdr:rowOff>95250</xdr:rowOff>
        </xdr:from>
        <xdr:to>
          <xdr:col>8</xdr:col>
          <xdr:colOff>723900</xdr:colOff>
          <xdr:row>17</xdr:row>
          <xdr:rowOff>114300</xdr:rowOff>
        </xdr:to>
        <xdr:sp macro="" textlink="">
          <xdr:nvSpPr>
            <xdr:cNvPr id="61442" name="Object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619125</xdr:colOff>
          <xdr:row>19</xdr:row>
          <xdr:rowOff>47625</xdr:rowOff>
        </xdr:from>
        <xdr:to>
          <xdr:col>8</xdr:col>
          <xdr:colOff>9525</xdr:colOff>
          <xdr:row>19</xdr:row>
          <xdr:rowOff>209550</xdr:rowOff>
        </xdr:to>
        <xdr:sp macro="" textlink="">
          <xdr:nvSpPr>
            <xdr:cNvPr id="61443" name="Object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1666875</xdr:colOff>
          <xdr:row>20</xdr:row>
          <xdr:rowOff>9525</xdr:rowOff>
        </xdr:from>
        <xdr:to>
          <xdr:col>2</xdr:col>
          <xdr:colOff>1809750</xdr:colOff>
          <xdr:row>20</xdr:row>
          <xdr:rowOff>171450</xdr:rowOff>
        </xdr:to>
        <xdr:sp macro="" textlink="">
          <xdr:nvSpPr>
            <xdr:cNvPr id="73731" name="Object 3" hidden="1">
              <a:extLst>
                <a:ext uri="{63B3BB69-23CF-44E3-9099-C40C66FF867C}">
                  <a14:compatExt spid="_x0000_s73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1666875</xdr:colOff>
          <xdr:row>20</xdr:row>
          <xdr:rowOff>190500</xdr:rowOff>
        </xdr:from>
        <xdr:to>
          <xdr:col>2</xdr:col>
          <xdr:colOff>1809750</xdr:colOff>
          <xdr:row>21</xdr:row>
          <xdr:rowOff>190500</xdr:rowOff>
        </xdr:to>
        <xdr:sp macro="" textlink="">
          <xdr:nvSpPr>
            <xdr:cNvPr id="73733" name="Object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4</xdr:row>
          <xdr:rowOff>171450</xdr:rowOff>
        </xdr:from>
        <xdr:to>
          <xdr:col>9</xdr:col>
          <xdr:colOff>762000</xdr:colOff>
          <xdr:row>22</xdr:row>
          <xdr:rowOff>9525</xdr:rowOff>
        </xdr:to>
        <xdr:sp macro="" textlink="">
          <xdr:nvSpPr>
            <xdr:cNvPr id="73734" name="Object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13</xdr:row>
          <xdr:rowOff>152400</xdr:rowOff>
        </xdr:from>
        <xdr:to>
          <xdr:col>2</xdr:col>
          <xdr:colOff>1838325</xdr:colOff>
          <xdr:row>15</xdr:row>
          <xdr:rowOff>66675</xdr:rowOff>
        </xdr:to>
        <xdr:sp macro="" textlink="">
          <xdr:nvSpPr>
            <xdr:cNvPr id="73735" name="Object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342900</xdr:colOff>
          <xdr:row>24</xdr:row>
          <xdr:rowOff>133350</xdr:rowOff>
        </xdr:from>
        <xdr:to>
          <xdr:col>2</xdr:col>
          <xdr:colOff>1819275</xdr:colOff>
          <xdr:row>26</xdr:row>
          <xdr:rowOff>9525</xdr:rowOff>
        </xdr:to>
        <xdr:sp macro="" textlink="">
          <xdr:nvSpPr>
            <xdr:cNvPr id="73737" name="Object 9" hidden="1">
              <a:extLst>
                <a:ext uri="{63B3BB69-23CF-44E3-9099-C40C66FF867C}">
                  <a14:compatExt spid="_x0000_s73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676275</xdr:colOff>
          <xdr:row>26</xdr:row>
          <xdr:rowOff>190500</xdr:rowOff>
        </xdr:from>
        <xdr:to>
          <xdr:col>2</xdr:col>
          <xdr:colOff>1371600</xdr:colOff>
          <xdr:row>28</xdr:row>
          <xdr:rowOff>28575</xdr:rowOff>
        </xdr:to>
        <xdr:sp macro="" textlink="">
          <xdr:nvSpPr>
            <xdr:cNvPr id="73740" name="Object 12" hidden="1">
              <a:extLst>
                <a:ext uri="{63B3BB69-23CF-44E3-9099-C40C66FF867C}">
                  <a14:compatExt spid="_x0000_s73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466725</xdr:colOff>
          <xdr:row>31</xdr:row>
          <xdr:rowOff>171450</xdr:rowOff>
        </xdr:from>
        <xdr:to>
          <xdr:col>8</xdr:col>
          <xdr:colOff>457200</xdr:colOff>
          <xdr:row>34</xdr:row>
          <xdr:rowOff>19050</xdr:rowOff>
        </xdr:to>
        <xdr:sp macro="" textlink="">
          <xdr:nvSpPr>
            <xdr:cNvPr id="73742" name="Object 14" hidden="1">
              <a:extLst>
                <a:ext uri="{63B3BB69-23CF-44E3-9099-C40C66FF867C}">
                  <a14:compatExt spid="_x0000_s73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43</xdr:row>
          <xdr:rowOff>57150</xdr:rowOff>
        </xdr:from>
        <xdr:to>
          <xdr:col>6</xdr:col>
          <xdr:colOff>762000</xdr:colOff>
          <xdr:row>47</xdr:row>
          <xdr:rowOff>133350</xdr:rowOff>
        </xdr:to>
        <xdr:sp macro="" textlink="">
          <xdr:nvSpPr>
            <xdr:cNvPr id="73744" name="Object 16" hidden="1">
              <a:extLst>
                <a:ext uri="{63B3BB69-23CF-44E3-9099-C40C66FF867C}">
                  <a14:compatExt spid="_x0000_s73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323850</xdr:colOff>
          <xdr:row>9</xdr:row>
          <xdr:rowOff>19050</xdr:rowOff>
        </xdr:from>
        <xdr:to>
          <xdr:col>8</xdr:col>
          <xdr:colOff>619125</xdr:colOff>
          <xdr:row>11</xdr:row>
          <xdr:rowOff>171450</xdr:rowOff>
        </xdr:to>
        <xdr:sp macro="" textlink="">
          <xdr:nvSpPr>
            <xdr:cNvPr id="87041" name="Object 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</xdr:row>
          <xdr:rowOff>9525</xdr:rowOff>
        </xdr:from>
        <xdr:to>
          <xdr:col>6</xdr:col>
          <xdr:colOff>19050</xdr:colOff>
          <xdr:row>7</xdr:row>
          <xdr:rowOff>190500</xdr:rowOff>
        </xdr:to>
        <xdr:sp macro="" textlink="">
          <xdr:nvSpPr>
            <xdr:cNvPr id="87042" name="Object 2" hidden="1">
              <a:extLst>
                <a:ext uri="{63B3BB69-23CF-44E3-9099-C40C66FF867C}">
                  <a14:compatExt spid="_x0000_s87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323850</xdr:colOff>
          <xdr:row>1</xdr:row>
          <xdr:rowOff>19050</xdr:rowOff>
        </xdr:from>
        <xdr:to>
          <xdr:col>21</xdr:col>
          <xdr:colOff>619125</xdr:colOff>
          <xdr:row>3</xdr:row>
          <xdr:rowOff>171450</xdr:rowOff>
        </xdr:to>
        <xdr:sp macro="" textlink="">
          <xdr:nvSpPr>
            <xdr:cNvPr id="99330" name="Object 2" hidden="1">
              <a:extLst>
                <a:ext uri="{63B3BB69-23CF-44E3-9099-C40C66FF867C}">
                  <a14:compatExt spid="_x0000_s99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104775</xdr:rowOff>
        </xdr:from>
        <xdr:to>
          <xdr:col>7</xdr:col>
          <xdr:colOff>419100</xdr:colOff>
          <xdr:row>9</xdr:row>
          <xdr:rowOff>9525</xdr:rowOff>
        </xdr:to>
        <xdr:sp macro="" textlink="">
          <xdr:nvSpPr>
            <xdr:cNvPr id="100354" name="Object 2" hidden="1">
              <a:extLst>
                <a:ext uri="{63B3BB69-23CF-44E3-9099-C40C66FF867C}">
                  <a14:compatExt spid="_x0000_s100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6</xdr:row>
          <xdr:rowOff>38100</xdr:rowOff>
        </xdr:from>
        <xdr:to>
          <xdr:col>4</xdr:col>
          <xdr:colOff>1343025</xdr:colOff>
          <xdr:row>11</xdr:row>
          <xdr:rowOff>38100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552450</xdr:colOff>
          <xdr:row>6</xdr:row>
          <xdr:rowOff>95250</xdr:rowOff>
        </xdr:from>
        <xdr:to>
          <xdr:col>4</xdr:col>
          <xdr:colOff>1266825</xdr:colOff>
          <xdr:row>11</xdr:row>
          <xdr:rowOff>57150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4</xdr:row>
          <xdr:rowOff>66675</xdr:rowOff>
        </xdr:from>
        <xdr:to>
          <xdr:col>10</xdr:col>
          <xdr:colOff>123825</xdr:colOff>
          <xdr:row>7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3</xdr:row>
          <xdr:rowOff>161925</xdr:rowOff>
        </xdr:from>
        <xdr:to>
          <xdr:col>6</xdr:col>
          <xdr:colOff>590550</xdr:colOff>
          <xdr:row>5</xdr:row>
          <xdr:rowOff>19050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7</xdr:row>
          <xdr:rowOff>190500</xdr:rowOff>
        </xdr:from>
        <xdr:to>
          <xdr:col>7</xdr:col>
          <xdr:colOff>600075</xdr:colOff>
          <xdr:row>16</xdr:row>
          <xdr:rowOff>123825</xdr:rowOff>
        </xdr:to>
        <xdr:sp macro="" textlink="">
          <xdr:nvSpPr>
            <xdr:cNvPr id="16388" name="Object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4</xdr:row>
          <xdr:rowOff>47625</xdr:rowOff>
        </xdr:from>
        <xdr:to>
          <xdr:col>8</xdr:col>
          <xdr:colOff>752475</xdr:colOff>
          <xdr:row>7</xdr:row>
          <xdr:rowOff>161925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2</xdr:col>
          <xdr:colOff>438150</xdr:colOff>
          <xdr:row>26</xdr:row>
          <xdr:rowOff>85725</xdr:rowOff>
        </xdr:to>
        <xdr:sp macro="" textlink="">
          <xdr:nvSpPr>
            <xdr:cNvPr id="17412" name="Object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5</xdr:row>
          <xdr:rowOff>171450</xdr:rowOff>
        </xdr:from>
        <xdr:to>
          <xdr:col>11</xdr:col>
          <xdr:colOff>438150</xdr:colOff>
          <xdr:row>13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27</xdr:row>
          <xdr:rowOff>0</xdr:rowOff>
        </xdr:from>
        <xdr:to>
          <xdr:col>3</xdr:col>
          <xdr:colOff>400050</xdr:colOff>
          <xdr:row>34</xdr:row>
          <xdr:rowOff>66675</xdr:rowOff>
        </xdr:to>
        <xdr:sp macro="" textlink="">
          <xdr:nvSpPr>
            <xdr:cNvPr id="18437" name="Object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5</xdr:row>
          <xdr:rowOff>47625</xdr:rowOff>
        </xdr:from>
        <xdr:to>
          <xdr:col>11</xdr:col>
          <xdr:colOff>638175</xdr:colOff>
          <xdr:row>11</xdr:row>
          <xdr:rowOff>47625</xdr:rowOff>
        </xdr:to>
        <xdr:sp macro="" textlink="">
          <xdr:nvSpPr>
            <xdr:cNvPr id="48132" name="Object 4" hidden="1">
              <a:extLst>
                <a:ext uri="{63B3BB69-23CF-44E3-9099-C40C66FF867C}">
                  <a14:compatExt spid="_x0000_s48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6" Type="http://schemas.openxmlformats.org/officeDocument/2006/relationships/image" Target="../media/image6.wmf"/><Relationship Id="rId5" Type="http://schemas.openxmlformats.org/officeDocument/2006/relationships/oleObject" Target="../embeddings/oleObject6.bin"/><Relationship Id="rId4" Type="http://schemas.openxmlformats.org/officeDocument/2006/relationships/image" Target="../media/image5.wmf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8.w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8.w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9.wmf"/><Relationship Id="rId4" Type="http://schemas.openxmlformats.org/officeDocument/2006/relationships/oleObject" Target="../embeddings/oleObject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0.wmf"/><Relationship Id="rId4" Type="http://schemas.openxmlformats.org/officeDocument/2006/relationships/oleObject" Target="../embeddings/oleObject1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2.w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14.wmf"/><Relationship Id="rId5" Type="http://schemas.openxmlformats.org/officeDocument/2006/relationships/image" Target="../media/image11.wmf"/><Relationship Id="rId10" Type="http://schemas.openxmlformats.org/officeDocument/2006/relationships/oleObject" Target="../embeddings/oleObject15.bin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3.wmf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6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Relationship Id="rId6" Type="http://schemas.openxmlformats.org/officeDocument/2006/relationships/image" Target="../media/image16.wmf"/><Relationship Id="rId5" Type="http://schemas.openxmlformats.org/officeDocument/2006/relationships/oleObject" Target="../embeddings/oleObject17.bin"/><Relationship Id="rId4" Type="http://schemas.openxmlformats.org/officeDocument/2006/relationships/image" Target="../media/image15.wmf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image" Target="../media/image21.wmf"/><Relationship Id="rId18" Type="http://schemas.openxmlformats.org/officeDocument/2006/relationships/oleObject" Target="../embeddings/oleObject25.bin"/><Relationship Id="rId3" Type="http://schemas.openxmlformats.org/officeDocument/2006/relationships/vmlDrawing" Target="../drawings/vmlDrawing11.vml"/><Relationship Id="rId7" Type="http://schemas.openxmlformats.org/officeDocument/2006/relationships/image" Target="../media/image18.wmf"/><Relationship Id="rId12" Type="http://schemas.openxmlformats.org/officeDocument/2006/relationships/oleObject" Target="../embeddings/oleObject22.bin"/><Relationship Id="rId17" Type="http://schemas.openxmlformats.org/officeDocument/2006/relationships/image" Target="../media/image23.wmf"/><Relationship Id="rId2" Type="http://schemas.openxmlformats.org/officeDocument/2006/relationships/drawing" Target="../drawings/drawing12.xml"/><Relationship Id="rId16" Type="http://schemas.openxmlformats.org/officeDocument/2006/relationships/oleObject" Target="../embeddings/oleObject24.bin"/><Relationship Id="rId1" Type="http://schemas.openxmlformats.org/officeDocument/2006/relationships/printerSettings" Target="../printerSettings/printerSettings14.bin"/><Relationship Id="rId6" Type="http://schemas.openxmlformats.org/officeDocument/2006/relationships/oleObject" Target="../embeddings/oleObject19.bin"/><Relationship Id="rId11" Type="http://schemas.openxmlformats.org/officeDocument/2006/relationships/image" Target="../media/image20.wmf"/><Relationship Id="rId5" Type="http://schemas.openxmlformats.org/officeDocument/2006/relationships/image" Target="../media/image17.wmf"/><Relationship Id="rId15" Type="http://schemas.openxmlformats.org/officeDocument/2006/relationships/image" Target="../media/image22.wmf"/><Relationship Id="rId10" Type="http://schemas.openxmlformats.org/officeDocument/2006/relationships/oleObject" Target="../embeddings/oleObject21.bin"/><Relationship Id="rId19" Type="http://schemas.openxmlformats.org/officeDocument/2006/relationships/image" Target="../media/image24.wmf"/><Relationship Id="rId4" Type="http://schemas.openxmlformats.org/officeDocument/2006/relationships/oleObject" Target="../embeddings/oleObject18.bin"/><Relationship Id="rId9" Type="http://schemas.openxmlformats.org/officeDocument/2006/relationships/image" Target="../media/image19.wmf"/><Relationship Id="rId14" Type="http://schemas.openxmlformats.org/officeDocument/2006/relationships/oleObject" Target="../embeddings/oleObject2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26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6" Type="http://schemas.openxmlformats.org/officeDocument/2006/relationships/oleObject" Target="../embeddings/oleObject27.bin"/><Relationship Id="rId5" Type="http://schemas.openxmlformats.org/officeDocument/2006/relationships/image" Target="../media/image25.emf"/><Relationship Id="rId4" Type="http://schemas.openxmlformats.org/officeDocument/2006/relationships/oleObject" Target="../embeddings/oleObject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7.emf"/><Relationship Id="rId4" Type="http://schemas.openxmlformats.org/officeDocument/2006/relationships/oleObject" Target="../embeddings/oleObject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zoomScaleNormal="100" workbookViewId="0">
      <selection activeCell="E42" sqref="E42"/>
    </sheetView>
  </sheetViews>
  <sheetFormatPr defaultRowHeight="15.75" x14ac:dyDescent="0.25"/>
  <cols>
    <col min="1" max="1" width="29" style="1" customWidth="1"/>
    <col min="2" max="2" width="30.33203125" style="2" customWidth="1"/>
    <col min="3" max="3" width="22.88671875" style="2" customWidth="1"/>
    <col min="4" max="4" width="18.77734375" style="2" customWidth="1"/>
    <col min="5" max="5" width="13.5546875" style="2" customWidth="1"/>
    <col min="6" max="16384" width="8.88671875" style="1"/>
  </cols>
  <sheetData>
    <row r="1" spans="1:5" ht="16.5" thickBot="1" x14ac:dyDescent="0.3"/>
    <row r="2" spans="1:5" ht="16.5" thickBot="1" x14ac:dyDescent="0.3">
      <c r="A2" s="6" t="s">
        <v>0</v>
      </c>
      <c r="B2" s="10" t="s">
        <v>1</v>
      </c>
      <c r="C2" s="10" t="s">
        <v>6</v>
      </c>
      <c r="D2" s="14" t="s">
        <v>3</v>
      </c>
      <c r="E2" s="3" t="s">
        <v>19</v>
      </c>
    </row>
    <row r="3" spans="1:5" x14ac:dyDescent="0.25">
      <c r="A3" s="7"/>
      <c r="B3" s="11"/>
      <c r="C3" s="11"/>
      <c r="D3" s="15"/>
      <c r="E3" s="4"/>
    </row>
    <row r="4" spans="1:5" x14ac:dyDescent="0.25">
      <c r="A4" s="7" t="s">
        <v>2</v>
      </c>
      <c r="B4" s="12" t="s">
        <v>7</v>
      </c>
      <c r="C4" s="12">
        <f>AVERAGE(D4:D21)</f>
        <v>48.333333333333336</v>
      </c>
      <c r="D4" s="15">
        <v>65</v>
      </c>
      <c r="E4" s="4">
        <v>8</v>
      </c>
    </row>
    <row r="5" spans="1:5" x14ac:dyDescent="0.25">
      <c r="A5" s="7"/>
      <c r="B5" s="11"/>
      <c r="C5" s="11"/>
      <c r="D5" s="15">
        <v>51</v>
      </c>
      <c r="E5" s="4">
        <v>13</v>
      </c>
    </row>
    <row r="6" spans="1:5" x14ac:dyDescent="0.25">
      <c r="A6" s="7" t="s">
        <v>10</v>
      </c>
      <c r="B6" s="11" t="s">
        <v>11</v>
      </c>
      <c r="C6" s="11">
        <f>MEDIAN(D4:D21)</f>
        <v>47</v>
      </c>
      <c r="D6" s="15">
        <v>27</v>
      </c>
      <c r="E6" s="4">
        <v>14</v>
      </c>
    </row>
    <row r="7" spans="1:5" x14ac:dyDescent="0.25">
      <c r="A7" s="7"/>
      <c r="B7" s="11"/>
      <c r="C7" s="11"/>
      <c r="D7" s="15">
        <v>29</v>
      </c>
      <c r="E7" s="4">
        <v>17</v>
      </c>
    </row>
    <row r="8" spans="1:5" x14ac:dyDescent="0.25">
      <c r="A8" s="7" t="s">
        <v>12</v>
      </c>
      <c r="B8" s="11"/>
      <c r="C8" s="11"/>
      <c r="D8" s="15">
        <v>14</v>
      </c>
      <c r="E8" s="4">
        <v>17</v>
      </c>
    </row>
    <row r="9" spans="1:5" x14ac:dyDescent="0.25">
      <c r="A9" s="7"/>
      <c r="B9" s="11"/>
      <c r="C9" s="11"/>
      <c r="D9" s="15">
        <v>63</v>
      </c>
      <c r="E9" s="4">
        <v>27</v>
      </c>
    </row>
    <row r="10" spans="1:5" x14ac:dyDescent="0.25">
      <c r="A10" s="7" t="s">
        <v>13</v>
      </c>
      <c r="B10" s="11"/>
      <c r="C10" s="11"/>
      <c r="D10" s="15">
        <v>43</v>
      </c>
      <c r="E10" s="4">
        <v>29</v>
      </c>
    </row>
    <row r="11" spans="1:5" x14ac:dyDescent="0.25">
      <c r="A11" s="8" t="s">
        <v>16</v>
      </c>
      <c r="B11" s="11" t="s">
        <v>14</v>
      </c>
      <c r="C11" s="17">
        <f>MAX(D4:D21)</f>
        <v>94</v>
      </c>
      <c r="D11" s="15">
        <v>75</v>
      </c>
      <c r="E11" s="4">
        <v>29</v>
      </c>
    </row>
    <row r="12" spans="1:5" x14ac:dyDescent="0.25">
      <c r="A12" s="8" t="s">
        <v>17</v>
      </c>
      <c r="B12" s="11" t="s">
        <v>15</v>
      </c>
      <c r="C12" s="11">
        <f>MIN(D4:D21)</f>
        <v>8</v>
      </c>
      <c r="D12" s="15">
        <v>8</v>
      </c>
      <c r="E12" s="4">
        <v>43</v>
      </c>
    </row>
    <row r="13" spans="1:5" x14ac:dyDescent="0.25">
      <c r="A13" s="7"/>
      <c r="B13" s="11" t="s">
        <v>18</v>
      </c>
      <c r="C13" s="11">
        <f>(C11+C12)/2</f>
        <v>51</v>
      </c>
      <c r="D13" s="15">
        <v>17</v>
      </c>
      <c r="E13" s="4">
        <v>51</v>
      </c>
    </row>
    <row r="14" spans="1:5" x14ac:dyDescent="0.25">
      <c r="A14" s="7"/>
      <c r="B14" s="11"/>
      <c r="C14" s="11"/>
      <c r="D14" s="15">
        <v>85</v>
      </c>
      <c r="E14" s="4">
        <v>63</v>
      </c>
    </row>
    <row r="15" spans="1:5" x14ac:dyDescent="0.25">
      <c r="A15" s="7"/>
      <c r="B15" s="11"/>
      <c r="C15" s="11"/>
      <c r="D15" s="15">
        <v>29</v>
      </c>
      <c r="E15" s="4">
        <v>65</v>
      </c>
    </row>
    <row r="16" spans="1:5" x14ac:dyDescent="0.25">
      <c r="A16" s="7" t="s">
        <v>4</v>
      </c>
      <c r="B16" s="12" t="s">
        <v>8</v>
      </c>
      <c r="C16" s="12">
        <f>_xlfn.STDEV.S(D4:D21)</f>
        <v>29.61120614584561</v>
      </c>
      <c r="D16" s="15">
        <v>17</v>
      </c>
      <c r="E16" s="4">
        <v>75</v>
      </c>
    </row>
    <row r="17" spans="1:5" x14ac:dyDescent="0.25">
      <c r="A17" s="7"/>
      <c r="B17" s="11"/>
      <c r="C17" s="11"/>
      <c r="D17" s="15">
        <v>78</v>
      </c>
      <c r="E17" s="4">
        <v>78</v>
      </c>
    </row>
    <row r="18" spans="1:5" x14ac:dyDescent="0.25">
      <c r="A18" s="7" t="s">
        <v>5</v>
      </c>
      <c r="B18" s="12" t="s">
        <v>9</v>
      </c>
      <c r="C18" s="18">
        <f>_xlfn.STDEV.P(D4:D21)</f>
        <v>28.776919764128877</v>
      </c>
      <c r="D18" s="15">
        <v>13</v>
      </c>
      <c r="E18" s="4">
        <v>80</v>
      </c>
    </row>
    <row r="19" spans="1:5" x14ac:dyDescent="0.25">
      <c r="A19" s="7"/>
      <c r="B19" s="11"/>
      <c r="C19" s="11"/>
      <c r="D19" s="15">
        <v>82</v>
      </c>
      <c r="E19" s="4">
        <v>82</v>
      </c>
    </row>
    <row r="20" spans="1:5" x14ac:dyDescent="0.25">
      <c r="A20" s="7" t="s">
        <v>20</v>
      </c>
      <c r="B20" s="11" t="s">
        <v>21</v>
      </c>
      <c r="C20" s="11">
        <f>PERCENTILE(D4:D21,0.29)</f>
        <v>26.299999999999997</v>
      </c>
      <c r="D20" s="15">
        <v>94</v>
      </c>
      <c r="E20" s="4">
        <v>85</v>
      </c>
    </row>
    <row r="21" spans="1:5" ht="16.5" thickBot="1" x14ac:dyDescent="0.3">
      <c r="A21" s="7"/>
      <c r="B21" s="8" t="s">
        <v>22</v>
      </c>
      <c r="C21" s="11"/>
      <c r="D21" s="16">
        <v>80</v>
      </c>
      <c r="E21" s="5">
        <v>94</v>
      </c>
    </row>
    <row r="22" spans="1:5" x14ac:dyDescent="0.25">
      <c r="A22" s="7"/>
      <c r="B22" s="11"/>
      <c r="C22" s="11"/>
    </row>
    <row r="23" spans="1:5" x14ac:dyDescent="0.25">
      <c r="A23" s="7" t="s">
        <v>23</v>
      </c>
      <c r="B23" s="11" t="s">
        <v>24</v>
      </c>
      <c r="C23" s="11"/>
      <c r="E23" s="2">
        <f>COUNT(E4:E21)</f>
        <v>18</v>
      </c>
    </row>
    <row r="24" spans="1:5" x14ac:dyDescent="0.25">
      <c r="A24" s="7"/>
      <c r="B24" s="8" t="s">
        <v>25</v>
      </c>
      <c r="C24" s="18">
        <f>(51-C4)/C16</f>
        <v>9.0055996149984316E-2</v>
      </c>
    </row>
    <row r="25" spans="1:5" x14ac:dyDescent="0.25">
      <c r="A25" s="7"/>
      <c r="B25" s="11"/>
      <c r="C25" s="11"/>
    </row>
    <row r="26" spans="1:5" x14ac:dyDescent="0.25">
      <c r="A26" s="7" t="s">
        <v>27</v>
      </c>
      <c r="B26" s="11" t="s">
        <v>26</v>
      </c>
      <c r="C26" s="11">
        <f>PERCENTRANK(D4:D21,D18)</f>
        <v>5.8000000000000003E-2</v>
      </c>
      <c r="D26" s="2">
        <f t="shared" ref="D26" ca="1" si="0" xml:space="preserve"> RANDBETWEEN(1,100)</f>
        <v>83</v>
      </c>
    </row>
    <row r="27" spans="1:5" x14ac:dyDescent="0.25">
      <c r="A27" s="7"/>
      <c r="B27" s="8" t="s">
        <v>28</v>
      </c>
      <c r="C27" s="11"/>
    </row>
    <row r="28" spans="1:5" x14ac:dyDescent="0.25">
      <c r="A28" s="7"/>
      <c r="B28" s="11"/>
      <c r="C28" s="11"/>
    </row>
    <row r="29" spans="1:5" x14ac:dyDescent="0.25">
      <c r="A29" s="7"/>
      <c r="B29" s="11"/>
      <c r="C29" s="11"/>
    </row>
    <row r="30" spans="1:5" x14ac:dyDescent="0.25">
      <c r="A30" s="7"/>
      <c r="B30" s="11"/>
      <c r="C30" s="11"/>
    </row>
    <row r="31" spans="1:5" x14ac:dyDescent="0.25">
      <c r="A31" s="7"/>
      <c r="B31" s="11"/>
      <c r="C31" s="11"/>
    </row>
    <row r="32" spans="1:5" x14ac:dyDescent="0.25">
      <c r="A32" s="7"/>
      <c r="B32" s="11"/>
      <c r="C32" s="11"/>
    </row>
    <row r="33" spans="1:3" x14ac:dyDescent="0.25">
      <c r="A33" s="7"/>
      <c r="B33" s="11"/>
      <c r="C33" s="11"/>
    </row>
    <row r="34" spans="1:3" x14ac:dyDescent="0.25">
      <c r="A34" s="7"/>
      <c r="B34" s="11"/>
      <c r="C34" s="11"/>
    </row>
    <row r="35" spans="1:3" x14ac:dyDescent="0.25">
      <c r="A35" s="7"/>
      <c r="B35" s="11"/>
      <c r="C35" s="11"/>
    </row>
    <row r="36" spans="1:3" x14ac:dyDescent="0.25">
      <c r="A36" s="7"/>
      <c r="B36" s="11"/>
      <c r="C36" s="11"/>
    </row>
    <row r="37" spans="1:3" x14ac:dyDescent="0.25">
      <c r="A37" s="7"/>
      <c r="B37" s="11"/>
      <c r="C37" s="11"/>
    </row>
    <row r="38" spans="1:3" x14ac:dyDescent="0.25">
      <c r="A38" s="7"/>
      <c r="B38" s="11"/>
      <c r="C38" s="11"/>
    </row>
    <row r="39" spans="1:3" x14ac:dyDescent="0.25">
      <c r="A39" s="7"/>
      <c r="B39" s="11"/>
      <c r="C39" s="11"/>
    </row>
    <row r="40" spans="1:3" x14ac:dyDescent="0.25">
      <c r="A40" s="7"/>
      <c r="B40" s="11"/>
      <c r="C40" s="11"/>
    </row>
    <row r="41" spans="1:3" x14ac:dyDescent="0.25">
      <c r="A41" s="7"/>
      <c r="B41" s="11"/>
      <c r="C41" s="11"/>
    </row>
    <row r="42" spans="1:3" x14ac:dyDescent="0.25">
      <c r="A42" s="7"/>
      <c r="B42" s="11"/>
      <c r="C42" s="11"/>
    </row>
    <row r="43" spans="1:3" x14ac:dyDescent="0.25">
      <c r="A43" s="7"/>
      <c r="B43" s="11"/>
      <c r="C43" s="11"/>
    </row>
    <row r="44" spans="1:3" x14ac:dyDescent="0.25">
      <c r="A44" s="7"/>
      <c r="B44" s="11"/>
      <c r="C44" s="11"/>
    </row>
    <row r="45" spans="1:3" x14ac:dyDescent="0.25">
      <c r="A45" s="7"/>
      <c r="B45" s="11"/>
      <c r="C45" s="11"/>
    </row>
    <row r="46" spans="1:3" x14ac:dyDescent="0.25">
      <c r="A46" s="7"/>
      <c r="B46" s="11"/>
      <c r="C46" s="11"/>
    </row>
    <row r="47" spans="1:3" x14ac:dyDescent="0.25">
      <c r="A47" s="7"/>
      <c r="B47" s="11"/>
      <c r="C47" s="11"/>
    </row>
    <row r="48" spans="1:3" x14ac:dyDescent="0.25">
      <c r="A48" s="7"/>
      <c r="B48" s="11"/>
      <c r="C48" s="11"/>
    </row>
    <row r="49" spans="1:3" x14ac:dyDescent="0.25">
      <c r="A49" s="7"/>
      <c r="B49" s="11"/>
      <c r="C49" s="11"/>
    </row>
    <row r="50" spans="1:3" x14ac:dyDescent="0.25">
      <c r="A50" s="7"/>
      <c r="B50" s="11"/>
      <c r="C50" s="11"/>
    </row>
    <row r="51" spans="1:3" x14ac:dyDescent="0.25">
      <c r="A51" s="7"/>
      <c r="B51" s="11"/>
      <c r="C51" s="11"/>
    </row>
    <row r="52" spans="1:3" x14ac:dyDescent="0.25">
      <c r="A52" s="7"/>
      <c r="B52" s="11"/>
      <c r="C52" s="11"/>
    </row>
    <row r="53" spans="1:3" x14ac:dyDescent="0.25">
      <c r="A53" s="7"/>
      <c r="B53" s="11"/>
      <c r="C53" s="11"/>
    </row>
    <row r="54" spans="1:3" x14ac:dyDescent="0.25">
      <c r="A54" s="7"/>
      <c r="B54" s="11"/>
      <c r="C54" s="11"/>
    </row>
    <row r="55" spans="1:3" x14ac:dyDescent="0.25">
      <c r="A55" s="7"/>
      <c r="B55" s="11"/>
      <c r="C55" s="11"/>
    </row>
    <row r="56" spans="1:3" x14ac:dyDescent="0.25">
      <c r="A56" s="7"/>
      <c r="B56" s="11"/>
      <c r="C56" s="11"/>
    </row>
    <row r="57" spans="1:3" x14ac:dyDescent="0.25">
      <c r="A57" s="7"/>
      <c r="B57" s="11"/>
      <c r="C57" s="11"/>
    </row>
    <row r="58" spans="1:3" x14ac:dyDescent="0.25">
      <c r="A58" s="7"/>
      <c r="B58" s="11"/>
      <c r="C58" s="11"/>
    </row>
    <row r="59" spans="1:3" x14ac:dyDescent="0.25">
      <c r="A59" s="7"/>
      <c r="B59" s="11"/>
      <c r="C59" s="11"/>
    </row>
    <row r="60" spans="1:3" x14ac:dyDescent="0.25">
      <c r="A60" s="7"/>
      <c r="B60" s="11"/>
      <c r="C60" s="11"/>
    </row>
    <row r="61" spans="1:3" x14ac:dyDescent="0.25">
      <c r="A61" s="7"/>
      <c r="B61" s="11"/>
      <c r="C61" s="11"/>
    </row>
    <row r="62" spans="1:3" x14ac:dyDescent="0.25">
      <c r="A62" s="7"/>
      <c r="B62" s="11"/>
      <c r="C62" s="11"/>
    </row>
    <row r="63" spans="1:3" x14ac:dyDescent="0.25">
      <c r="A63" s="7"/>
      <c r="B63" s="11"/>
      <c r="C63" s="11"/>
    </row>
    <row r="64" spans="1:3" x14ac:dyDescent="0.25">
      <c r="A64" s="7"/>
      <c r="B64" s="11"/>
      <c r="C64" s="11"/>
    </row>
    <row r="65" spans="1:3" x14ac:dyDescent="0.25">
      <c r="A65" s="7"/>
      <c r="B65" s="11"/>
      <c r="C65" s="11"/>
    </row>
    <row r="66" spans="1:3" x14ac:dyDescent="0.25">
      <c r="A66" s="7"/>
      <c r="B66" s="11"/>
      <c r="C66" s="11"/>
    </row>
    <row r="67" spans="1:3" x14ac:dyDescent="0.25">
      <c r="A67" s="7"/>
      <c r="B67" s="11"/>
      <c r="C67" s="11"/>
    </row>
    <row r="68" spans="1:3" x14ac:dyDescent="0.25">
      <c r="A68" s="7"/>
      <c r="B68" s="11"/>
      <c r="C68" s="11"/>
    </row>
    <row r="69" spans="1:3" x14ac:dyDescent="0.25">
      <c r="A69" s="7"/>
      <c r="B69" s="11"/>
      <c r="C69" s="11"/>
    </row>
    <row r="70" spans="1:3" x14ac:dyDescent="0.25">
      <c r="A70" s="7"/>
      <c r="B70" s="11"/>
      <c r="C70" s="11"/>
    </row>
    <row r="71" spans="1:3" x14ac:dyDescent="0.25">
      <c r="A71" s="7"/>
      <c r="B71" s="11"/>
      <c r="C71" s="11"/>
    </row>
    <row r="72" spans="1:3" x14ac:dyDescent="0.25">
      <c r="A72" s="7"/>
      <c r="B72" s="11"/>
      <c r="C72" s="11"/>
    </row>
    <row r="73" spans="1:3" x14ac:dyDescent="0.25">
      <c r="A73" s="7"/>
      <c r="B73" s="11"/>
      <c r="C73" s="11"/>
    </row>
    <row r="74" spans="1:3" x14ac:dyDescent="0.25">
      <c r="A74" s="7"/>
      <c r="B74" s="11"/>
      <c r="C74" s="11"/>
    </row>
    <row r="75" spans="1:3" x14ac:dyDescent="0.25">
      <c r="A75" s="7"/>
      <c r="B75" s="11"/>
      <c r="C75" s="11"/>
    </row>
    <row r="76" spans="1:3" x14ac:dyDescent="0.25">
      <c r="A76" s="7"/>
      <c r="B76" s="11"/>
      <c r="C76" s="11"/>
    </row>
    <row r="77" spans="1:3" x14ac:dyDescent="0.25">
      <c r="A77" s="7"/>
      <c r="B77" s="11"/>
      <c r="C77" s="11"/>
    </row>
    <row r="78" spans="1:3" x14ac:dyDescent="0.25">
      <c r="A78" s="7"/>
      <c r="B78" s="11"/>
      <c r="C78" s="11"/>
    </row>
    <row r="79" spans="1:3" x14ac:dyDescent="0.25">
      <c r="A79" s="7"/>
      <c r="B79" s="11"/>
      <c r="C79" s="11"/>
    </row>
    <row r="80" spans="1:3" x14ac:dyDescent="0.25">
      <c r="A80" s="7"/>
      <c r="B80" s="11"/>
      <c r="C80" s="11"/>
    </row>
    <row r="81" spans="1:3" x14ac:dyDescent="0.25">
      <c r="A81" s="7"/>
      <c r="B81" s="11"/>
      <c r="C81" s="11"/>
    </row>
    <row r="82" spans="1:3" x14ac:dyDescent="0.25">
      <c r="A82" s="7"/>
      <c r="B82" s="11"/>
      <c r="C82" s="11"/>
    </row>
    <row r="83" spans="1:3" x14ac:dyDescent="0.25">
      <c r="A83" s="7"/>
      <c r="B83" s="11"/>
      <c r="C83" s="11"/>
    </row>
    <row r="84" spans="1:3" x14ac:dyDescent="0.25">
      <c r="A84" s="7"/>
      <c r="B84" s="11"/>
      <c r="C84" s="11"/>
    </row>
    <row r="85" spans="1:3" x14ac:dyDescent="0.25">
      <c r="A85" s="7"/>
      <c r="B85" s="11"/>
      <c r="C85" s="11"/>
    </row>
    <row r="86" spans="1:3" x14ac:dyDescent="0.25">
      <c r="A86" s="7"/>
      <c r="B86" s="11"/>
      <c r="C86" s="11"/>
    </row>
    <row r="87" spans="1:3" x14ac:dyDescent="0.25">
      <c r="A87" s="7"/>
      <c r="B87" s="11"/>
      <c r="C87" s="11"/>
    </row>
    <row r="88" spans="1:3" x14ac:dyDescent="0.25">
      <c r="A88" s="7"/>
      <c r="B88" s="11"/>
      <c r="C88" s="11"/>
    </row>
    <row r="89" spans="1:3" x14ac:dyDescent="0.25">
      <c r="A89" s="7"/>
      <c r="B89" s="11"/>
      <c r="C89" s="11"/>
    </row>
    <row r="90" spans="1:3" x14ac:dyDescent="0.25">
      <c r="A90" s="7"/>
      <c r="B90" s="11"/>
      <c r="C90" s="11"/>
    </row>
    <row r="91" spans="1:3" x14ac:dyDescent="0.25">
      <c r="A91" s="7"/>
      <c r="B91" s="11"/>
      <c r="C91" s="11"/>
    </row>
    <row r="92" spans="1:3" x14ac:dyDescent="0.25">
      <c r="A92" s="7"/>
      <c r="B92" s="11"/>
      <c r="C92" s="11"/>
    </row>
    <row r="93" spans="1:3" x14ac:dyDescent="0.25">
      <c r="A93" s="7"/>
      <c r="B93" s="11"/>
      <c r="C93" s="11"/>
    </row>
    <row r="94" spans="1:3" x14ac:dyDescent="0.25">
      <c r="A94" s="7"/>
      <c r="B94" s="11"/>
      <c r="C94" s="11"/>
    </row>
    <row r="95" spans="1:3" x14ac:dyDescent="0.25">
      <c r="A95" s="7"/>
      <c r="B95" s="11"/>
      <c r="C95" s="11"/>
    </row>
    <row r="96" spans="1:3" x14ac:dyDescent="0.25">
      <c r="A96" s="7"/>
      <c r="B96" s="11"/>
      <c r="C96" s="11"/>
    </row>
    <row r="97" spans="1:3" x14ac:dyDescent="0.25">
      <c r="A97" s="7"/>
      <c r="B97" s="11"/>
      <c r="C97" s="11"/>
    </row>
    <row r="98" spans="1:3" x14ac:dyDescent="0.25">
      <c r="A98" s="7"/>
      <c r="B98" s="11"/>
      <c r="C98" s="11"/>
    </row>
    <row r="99" spans="1:3" x14ac:dyDescent="0.25">
      <c r="A99" s="7"/>
      <c r="B99" s="11"/>
      <c r="C99" s="11"/>
    </row>
    <row r="100" spans="1:3" x14ac:dyDescent="0.25">
      <c r="A100" s="7"/>
      <c r="B100" s="11"/>
      <c r="C100" s="11"/>
    </row>
    <row r="101" spans="1:3" x14ac:dyDescent="0.25">
      <c r="A101" s="7"/>
      <c r="B101" s="11"/>
      <c r="C101" s="11"/>
    </row>
    <row r="102" spans="1:3" x14ac:dyDescent="0.25">
      <c r="A102" s="7"/>
      <c r="B102" s="11"/>
      <c r="C102" s="11"/>
    </row>
    <row r="103" spans="1:3" x14ac:dyDescent="0.25">
      <c r="A103" s="7"/>
      <c r="B103" s="11"/>
      <c r="C103" s="11"/>
    </row>
    <row r="104" spans="1:3" x14ac:dyDescent="0.25">
      <c r="A104" s="7"/>
      <c r="B104" s="11"/>
      <c r="C104" s="11"/>
    </row>
    <row r="105" spans="1:3" x14ac:dyDescent="0.25">
      <c r="A105" s="7"/>
      <c r="B105" s="11"/>
      <c r="C105" s="11"/>
    </row>
    <row r="106" spans="1:3" x14ac:dyDescent="0.25">
      <c r="A106" s="7"/>
      <c r="B106" s="11"/>
      <c r="C106" s="11"/>
    </row>
    <row r="107" spans="1:3" x14ac:dyDescent="0.25">
      <c r="A107" s="7"/>
      <c r="B107" s="11"/>
      <c r="C107" s="11"/>
    </row>
    <row r="108" spans="1:3" x14ac:dyDescent="0.25">
      <c r="A108" s="7"/>
      <c r="B108" s="11"/>
      <c r="C108" s="11"/>
    </row>
    <row r="109" spans="1:3" x14ac:dyDescent="0.25">
      <c r="A109" s="7"/>
      <c r="B109" s="11"/>
      <c r="C109" s="11"/>
    </row>
    <row r="110" spans="1:3" x14ac:dyDescent="0.25">
      <c r="A110" s="7"/>
      <c r="B110" s="11"/>
      <c r="C110" s="11"/>
    </row>
    <row r="111" spans="1:3" x14ac:dyDescent="0.25">
      <c r="A111" s="7"/>
      <c r="B111" s="11"/>
      <c r="C111" s="11"/>
    </row>
    <row r="112" spans="1:3" x14ac:dyDescent="0.25">
      <c r="A112" s="7"/>
      <c r="B112" s="11"/>
      <c r="C112" s="11"/>
    </row>
    <row r="113" spans="1:3" x14ac:dyDescent="0.25">
      <c r="A113" s="7"/>
      <c r="B113" s="11"/>
      <c r="C113" s="11"/>
    </row>
    <row r="114" spans="1:3" x14ac:dyDescent="0.25">
      <c r="A114" s="7"/>
      <c r="B114" s="11"/>
      <c r="C114" s="11"/>
    </row>
    <row r="115" spans="1:3" x14ac:dyDescent="0.25">
      <c r="A115" s="7"/>
      <c r="B115" s="11"/>
      <c r="C115" s="11"/>
    </row>
    <row r="116" spans="1:3" x14ac:dyDescent="0.25">
      <c r="A116" s="7"/>
      <c r="B116" s="11"/>
      <c r="C116" s="11"/>
    </row>
    <row r="117" spans="1:3" x14ac:dyDescent="0.25">
      <c r="A117" s="7"/>
      <c r="B117" s="11"/>
      <c r="C117" s="11"/>
    </row>
    <row r="118" spans="1:3" x14ac:dyDescent="0.25">
      <c r="A118" s="7"/>
      <c r="B118" s="11"/>
      <c r="C118" s="11"/>
    </row>
    <row r="119" spans="1:3" x14ac:dyDescent="0.25">
      <c r="A119" s="7"/>
      <c r="B119" s="11"/>
      <c r="C119" s="11"/>
    </row>
    <row r="120" spans="1:3" x14ac:dyDescent="0.25">
      <c r="A120" s="7"/>
      <c r="B120" s="11"/>
      <c r="C120" s="11"/>
    </row>
    <row r="121" spans="1:3" x14ac:dyDescent="0.25">
      <c r="A121" s="7"/>
      <c r="B121" s="11"/>
      <c r="C121" s="11"/>
    </row>
    <row r="122" spans="1:3" x14ac:dyDescent="0.25">
      <c r="A122" s="7"/>
      <c r="B122" s="11"/>
      <c r="C122" s="11"/>
    </row>
    <row r="123" spans="1:3" x14ac:dyDescent="0.25">
      <c r="A123" s="7"/>
      <c r="B123" s="11"/>
      <c r="C123" s="11"/>
    </row>
    <row r="124" spans="1:3" x14ac:dyDescent="0.25">
      <c r="A124" s="7"/>
      <c r="B124" s="11"/>
      <c r="C124" s="11"/>
    </row>
    <row r="125" spans="1:3" x14ac:dyDescent="0.25">
      <c r="A125" s="7"/>
      <c r="B125" s="11"/>
      <c r="C125" s="11"/>
    </row>
    <row r="126" spans="1:3" x14ac:dyDescent="0.25">
      <c r="A126" s="7"/>
      <c r="B126" s="11"/>
      <c r="C126" s="11"/>
    </row>
    <row r="127" spans="1:3" x14ac:dyDescent="0.25">
      <c r="A127" s="7"/>
      <c r="B127" s="11"/>
      <c r="C127" s="11"/>
    </row>
    <row r="128" spans="1:3" x14ac:dyDescent="0.25">
      <c r="A128" s="7"/>
      <c r="B128" s="11"/>
      <c r="C128" s="11"/>
    </row>
    <row r="129" spans="1:3" x14ac:dyDescent="0.25">
      <c r="A129" s="7"/>
      <c r="B129" s="11"/>
      <c r="C129" s="11"/>
    </row>
    <row r="130" spans="1:3" x14ac:dyDescent="0.25">
      <c r="A130" s="7"/>
      <c r="B130" s="11"/>
      <c r="C130" s="11"/>
    </row>
    <row r="131" spans="1:3" x14ac:dyDescent="0.25">
      <c r="A131" s="7"/>
      <c r="B131" s="11"/>
      <c r="C131" s="11"/>
    </row>
    <row r="132" spans="1:3" x14ac:dyDescent="0.25">
      <c r="A132" s="7"/>
      <c r="B132" s="11"/>
      <c r="C132" s="11"/>
    </row>
    <row r="133" spans="1:3" x14ac:dyDescent="0.25">
      <c r="A133" s="7"/>
      <c r="B133" s="11"/>
      <c r="C133" s="11"/>
    </row>
    <row r="134" spans="1:3" x14ac:dyDescent="0.25">
      <c r="A134" s="7"/>
      <c r="B134" s="11"/>
      <c r="C134" s="11"/>
    </row>
    <row r="135" spans="1:3" x14ac:dyDescent="0.25">
      <c r="A135" s="7"/>
      <c r="B135" s="11"/>
      <c r="C135" s="11"/>
    </row>
    <row r="136" spans="1:3" x14ac:dyDescent="0.25">
      <c r="A136" s="7"/>
      <c r="B136" s="11"/>
      <c r="C136" s="11"/>
    </row>
    <row r="137" spans="1:3" x14ac:dyDescent="0.25">
      <c r="A137" s="7"/>
      <c r="B137" s="11"/>
      <c r="C137" s="11"/>
    </row>
    <row r="138" spans="1:3" x14ac:dyDescent="0.25">
      <c r="A138" s="7"/>
      <c r="B138" s="11"/>
      <c r="C138" s="11"/>
    </row>
    <row r="139" spans="1:3" x14ac:dyDescent="0.25">
      <c r="A139" s="7"/>
      <c r="B139" s="11"/>
      <c r="C139" s="11"/>
    </row>
    <row r="140" spans="1:3" x14ac:dyDescent="0.25">
      <c r="A140" s="7"/>
      <c r="B140" s="11"/>
      <c r="C140" s="11"/>
    </row>
    <row r="141" spans="1:3" x14ac:dyDescent="0.25">
      <c r="A141" s="7"/>
      <c r="B141" s="11"/>
      <c r="C141" s="11"/>
    </row>
    <row r="142" spans="1:3" x14ac:dyDescent="0.25">
      <c r="A142" s="7"/>
      <c r="B142" s="11"/>
      <c r="C142" s="11"/>
    </row>
    <row r="143" spans="1:3" x14ac:dyDescent="0.25">
      <c r="A143" s="7"/>
      <c r="B143" s="11"/>
      <c r="C143" s="11"/>
    </row>
    <row r="144" spans="1:3" x14ac:dyDescent="0.25">
      <c r="A144" s="7"/>
      <c r="B144" s="11"/>
      <c r="C144" s="11"/>
    </row>
    <row r="145" spans="1:3" x14ac:dyDescent="0.25">
      <c r="A145" s="7"/>
      <c r="B145" s="11"/>
      <c r="C145" s="11"/>
    </row>
    <row r="146" spans="1:3" x14ac:dyDescent="0.25">
      <c r="A146" s="7"/>
      <c r="B146" s="11"/>
      <c r="C146" s="11"/>
    </row>
    <row r="147" spans="1:3" x14ac:dyDescent="0.25">
      <c r="A147" s="7"/>
      <c r="B147" s="11"/>
      <c r="C147" s="11"/>
    </row>
    <row r="148" spans="1:3" x14ac:dyDescent="0.25">
      <c r="A148" s="7"/>
      <c r="B148" s="11"/>
      <c r="C148" s="11"/>
    </row>
    <row r="149" spans="1:3" x14ac:dyDescent="0.25">
      <c r="A149" s="7"/>
      <c r="B149" s="11"/>
      <c r="C149" s="11"/>
    </row>
    <row r="150" spans="1:3" x14ac:dyDescent="0.25">
      <c r="A150" s="7"/>
      <c r="B150" s="11"/>
      <c r="C150" s="11"/>
    </row>
    <row r="151" spans="1:3" x14ac:dyDescent="0.25">
      <c r="A151" s="7"/>
      <c r="B151" s="11"/>
      <c r="C151" s="11"/>
    </row>
    <row r="152" spans="1:3" x14ac:dyDescent="0.25">
      <c r="A152" s="7"/>
      <c r="B152" s="11"/>
      <c r="C152" s="11"/>
    </row>
    <row r="153" spans="1:3" x14ac:dyDescent="0.25">
      <c r="A153" s="7"/>
      <c r="B153" s="11"/>
      <c r="C153" s="11"/>
    </row>
    <row r="154" spans="1:3" x14ac:dyDescent="0.25">
      <c r="A154" s="7"/>
      <c r="B154" s="11"/>
      <c r="C154" s="11"/>
    </row>
    <row r="155" spans="1:3" x14ac:dyDescent="0.25">
      <c r="A155" s="7"/>
      <c r="B155" s="11"/>
      <c r="C155" s="11"/>
    </row>
    <row r="156" spans="1:3" x14ac:dyDescent="0.25">
      <c r="A156" s="7"/>
      <c r="B156" s="11"/>
      <c r="C156" s="11"/>
    </row>
    <row r="157" spans="1:3" x14ac:dyDescent="0.25">
      <c r="A157" s="7"/>
      <c r="B157" s="11"/>
      <c r="C157" s="11"/>
    </row>
    <row r="158" spans="1:3" x14ac:dyDescent="0.25">
      <c r="A158" s="7"/>
      <c r="B158" s="11"/>
      <c r="C158" s="11"/>
    </row>
    <row r="159" spans="1:3" x14ac:dyDescent="0.25">
      <c r="A159" s="7"/>
      <c r="B159" s="11"/>
      <c r="C159" s="11"/>
    </row>
    <row r="160" spans="1:3" x14ac:dyDescent="0.25">
      <c r="A160" s="7"/>
      <c r="B160" s="11"/>
      <c r="C160" s="11"/>
    </row>
    <row r="161" spans="1:3" x14ac:dyDescent="0.25">
      <c r="A161" s="7"/>
      <c r="B161" s="11"/>
      <c r="C161" s="11"/>
    </row>
    <row r="162" spans="1:3" x14ac:dyDescent="0.25">
      <c r="A162" s="7"/>
      <c r="B162" s="11"/>
      <c r="C162" s="11"/>
    </row>
    <row r="163" spans="1:3" x14ac:dyDescent="0.25">
      <c r="A163" s="7"/>
      <c r="B163" s="11"/>
      <c r="C163" s="11"/>
    </row>
    <row r="164" spans="1:3" x14ac:dyDescent="0.25">
      <c r="A164" s="7"/>
      <c r="B164" s="11"/>
      <c r="C164" s="11"/>
    </row>
    <row r="165" spans="1:3" x14ac:dyDescent="0.25">
      <c r="A165" s="7"/>
      <c r="B165" s="11"/>
      <c r="C165" s="11"/>
    </row>
    <row r="166" spans="1:3" x14ac:dyDescent="0.25">
      <c r="A166" s="7"/>
      <c r="B166" s="11"/>
      <c r="C166" s="11"/>
    </row>
    <row r="167" spans="1:3" x14ac:dyDescent="0.25">
      <c r="A167" s="7"/>
      <c r="B167" s="11"/>
      <c r="C167" s="11"/>
    </row>
    <row r="168" spans="1:3" x14ac:dyDescent="0.25">
      <c r="A168" s="7"/>
      <c r="B168" s="11"/>
      <c r="C168" s="11"/>
    </row>
    <row r="169" spans="1:3" x14ac:dyDescent="0.25">
      <c r="A169" s="7"/>
      <c r="B169" s="11"/>
      <c r="C169" s="11"/>
    </row>
    <row r="170" spans="1:3" x14ac:dyDescent="0.25">
      <c r="A170" s="7"/>
      <c r="B170" s="11"/>
      <c r="C170" s="11"/>
    </row>
    <row r="171" spans="1:3" ht="16.5" thickBot="1" x14ac:dyDescent="0.3">
      <c r="A171" s="9"/>
      <c r="B171" s="13"/>
      <c r="C171" s="13"/>
    </row>
  </sheetData>
  <sortState ref="E3:E20">
    <sortCondition ref="E3:E2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170" zoomScaleNormal="170" workbookViewId="0"/>
  </sheetViews>
  <sheetFormatPr defaultRowHeight="15" x14ac:dyDescent="0.2"/>
  <cols>
    <col min="9" max="9" width="5.109375" customWidth="1"/>
  </cols>
  <sheetData>
    <row r="1" spans="1:10" ht="15.75" x14ac:dyDescent="0.25">
      <c r="A1" s="68" t="s">
        <v>114</v>
      </c>
      <c r="B1" s="67"/>
      <c r="C1" s="67"/>
      <c r="D1" s="67"/>
    </row>
    <row r="2" spans="1:10" x14ac:dyDescent="0.2">
      <c r="A2" s="67" t="s">
        <v>112</v>
      </c>
      <c r="B2" s="67"/>
      <c r="C2" s="67"/>
      <c r="D2" s="67"/>
    </row>
    <row r="4" spans="1:10" x14ac:dyDescent="0.2">
      <c r="A4">
        <f>E6</f>
        <v>2.5000000000000022E-2</v>
      </c>
      <c r="B4" s="19" t="s">
        <v>72</v>
      </c>
      <c r="E4" s="53">
        <v>0.95</v>
      </c>
      <c r="F4" s="19" t="s">
        <v>79</v>
      </c>
      <c r="J4">
        <v>27.5</v>
      </c>
    </row>
    <row r="5" spans="1:10" x14ac:dyDescent="0.2">
      <c r="A5">
        <f>A13</f>
        <v>49</v>
      </c>
      <c r="B5" s="19" t="s">
        <v>73</v>
      </c>
      <c r="E5">
        <f>1-E4</f>
        <v>5.0000000000000044E-2</v>
      </c>
      <c r="F5" s="19" t="s">
        <v>80</v>
      </c>
      <c r="J5">
        <v>25.6</v>
      </c>
    </row>
    <row r="6" spans="1:10" x14ac:dyDescent="0.2">
      <c r="A6">
        <f>ABS(_xlfn.T.INV(A4,A5))</f>
        <v>2.0095752371292388</v>
      </c>
      <c r="B6" s="19" t="s">
        <v>74</v>
      </c>
      <c r="E6">
        <f>E5/2</f>
        <v>2.5000000000000022E-2</v>
      </c>
      <c r="F6" s="19" t="s">
        <v>81</v>
      </c>
      <c r="J6">
        <v>26.4</v>
      </c>
    </row>
    <row r="7" spans="1:10" x14ac:dyDescent="0.2">
      <c r="J7">
        <v>25.7</v>
      </c>
    </row>
    <row r="8" spans="1:10" x14ac:dyDescent="0.2">
      <c r="J8">
        <v>36.299999999999997</v>
      </c>
    </row>
    <row r="9" spans="1:10" ht="15.75" thickBot="1" x14ac:dyDescent="0.25">
      <c r="A9" t="s">
        <v>75</v>
      </c>
      <c r="E9" s="67" t="s">
        <v>113</v>
      </c>
      <c r="F9" s="67"/>
      <c r="G9" s="67"/>
      <c r="J9">
        <v>31.6</v>
      </c>
    </row>
    <row r="10" spans="1:10" x14ac:dyDescent="0.2">
      <c r="A10" s="53">
        <v>3.16</v>
      </c>
      <c r="B10" s="19" t="s">
        <v>76</v>
      </c>
      <c r="E10" s="25">
        <f>A$10-A$6*(A$11/SQRT(A$12))</f>
        <v>3.0235855093620501</v>
      </c>
      <c r="F10" s="41" t="s">
        <v>82</v>
      </c>
      <c r="G10" s="27"/>
      <c r="J10">
        <v>30.4</v>
      </c>
    </row>
    <row r="11" spans="1:10" ht="15.75" thickBot="1" x14ac:dyDescent="0.25">
      <c r="A11" s="53">
        <v>0.48</v>
      </c>
      <c r="B11" s="19" t="s">
        <v>30</v>
      </c>
      <c r="E11" s="31">
        <f>A$10+A$6*(A$11/SQRT(A$12))</f>
        <v>3.2964144906379502</v>
      </c>
      <c r="F11" s="42" t="s">
        <v>83</v>
      </c>
      <c r="G11" s="32"/>
      <c r="J11">
        <v>28.9</v>
      </c>
    </row>
    <row r="12" spans="1:10" x14ac:dyDescent="0.2">
      <c r="A12" s="53">
        <v>50</v>
      </c>
      <c r="B12" s="19" t="s">
        <v>77</v>
      </c>
      <c r="J12">
        <v>29.1</v>
      </c>
    </row>
    <row r="13" spans="1:10" x14ac:dyDescent="0.2">
      <c r="A13">
        <f>A12-1</f>
        <v>49</v>
      </c>
      <c r="B13" s="19" t="s">
        <v>78</v>
      </c>
    </row>
    <row r="15" spans="1:10" x14ac:dyDescent="0.2">
      <c r="A15" s="29"/>
      <c r="B15" s="29"/>
      <c r="C15" s="29"/>
      <c r="D15" s="29"/>
      <c r="E15" s="29"/>
      <c r="F15" s="29"/>
      <c r="G15" s="29"/>
      <c r="H15" s="29"/>
    </row>
    <row r="16" spans="1:10" x14ac:dyDescent="0.2">
      <c r="A16" s="29"/>
      <c r="B16" s="29"/>
      <c r="C16" s="29"/>
      <c r="D16" s="29"/>
      <c r="E16" s="29"/>
      <c r="F16" s="29"/>
      <c r="G16" s="29"/>
      <c r="H16" s="29"/>
    </row>
    <row r="17" spans="1:8" x14ac:dyDescent="0.2">
      <c r="A17" s="29"/>
      <c r="B17" s="29"/>
      <c r="C17" s="29"/>
      <c r="D17" s="29"/>
      <c r="E17" s="29"/>
      <c r="F17" s="29"/>
      <c r="G17" s="29"/>
      <c r="H17" s="29"/>
    </row>
    <row r="19" spans="1:8" x14ac:dyDescent="0.2">
      <c r="B19" s="19"/>
    </row>
    <row r="20" spans="1:8" x14ac:dyDescent="0.2">
      <c r="B20" s="19"/>
    </row>
    <row r="21" spans="1:8" x14ac:dyDescent="0.2">
      <c r="B21" s="19"/>
    </row>
    <row r="23" spans="1:8" x14ac:dyDescent="0.2">
      <c r="B23" s="19"/>
    </row>
    <row r="24" spans="1:8" x14ac:dyDescent="0.2">
      <c r="B24" s="19"/>
    </row>
    <row r="25" spans="1:8" x14ac:dyDescent="0.2">
      <c r="B25" s="19"/>
    </row>
    <row r="27" spans="1:8" x14ac:dyDescent="0.2">
      <c r="B27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30" zoomScaleNormal="130" workbookViewId="0">
      <selection activeCell="A32" sqref="A32"/>
    </sheetView>
  </sheetViews>
  <sheetFormatPr defaultRowHeight="15.75" x14ac:dyDescent="0.25"/>
  <cols>
    <col min="1" max="1" width="9.5546875" style="1" bestFit="1" customWidth="1"/>
    <col min="2" max="16384" width="8.88671875" style="1"/>
  </cols>
  <sheetData>
    <row r="1" spans="1:6" x14ac:dyDescent="0.25">
      <c r="A1" s="68" t="s">
        <v>175</v>
      </c>
      <c r="B1" s="67"/>
      <c r="C1" s="67"/>
      <c r="D1" s="67"/>
    </row>
    <row r="2" spans="1:6" x14ac:dyDescent="0.25">
      <c r="A2" s="67" t="s">
        <v>176</v>
      </c>
      <c r="B2" s="67"/>
      <c r="C2" s="67"/>
      <c r="D2" s="67"/>
      <c r="F2" s="1" t="s">
        <v>163</v>
      </c>
    </row>
    <row r="3" spans="1:6" x14ac:dyDescent="0.25">
      <c r="A3" s="108">
        <v>285</v>
      </c>
      <c r="B3" s="60" t="s">
        <v>164</v>
      </c>
      <c r="C3" s="108">
        <v>595</v>
      </c>
      <c r="D3" s="60" t="s">
        <v>177</v>
      </c>
    </row>
    <row r="4" spans="1:6" x14ac:dyDescent="0.25">
      <c r="A4" s="108">
        <f>A3+C3</f>
        <v>880</v>
      </c>
      <c r="B4" s="60" t="s">
        <v>37</v>
      </c>
    </row>
    <row r="6" spans="1:6" x14ac:dyDescent="0.25">
      <c r="A6" s="108">
        <v>0.95</v>
      </c>
      <c r="B6" s="60" t="s">
        <v>165</v>
      </c>
    </row>
    <row r="7" spans="1:6" x14ac:dyDescent="0.25">
      <c r="A7" s="1">
        <f>1-A6</f>
        <v>5.0000000000000044E-2</v>
      </c>
      <c r="B7" s="60" t="s">
        <v>80</v>
      </c>
    </row>
    <row r="8" spans="1:6" x14ac:dyDescent="0.25">
      <c r="A8" s="1">
        <f>A7/2</f>
        <v>2.5000000000000022E-2</v>
      </c>
      <c r="B8" s="60" t="s">
        <v>81</v>
      </c>
    </row>
    <row r="9" spans="1:6" ht="18.75" x14ac:dyDescent="0.35">
      <c r="A9" s="1">
        <f>ABS(_xlfn.NORM.INV(A8,0,1))</f>
        <v>1.9599639845400536</v>
      </c>
      <c r="B9" s="60" t="s">
        <v>174</v>
      </c>
      <c r="D9" s="1">
        <f>ABS(_xlfn.NORM.S.INV(A8))</f>
        <v>1.9599639845400536</v>
      </c>
      <c r="E9" s="60" t="s">
        <v>174</v>
      </c>
    </row>
    <row r="11" spans="1:6" x14ac:dyDescent="0.25">
      <c r="A11" s="114">
        <f>A3/A4</f>
        <v>0.32386363636363635</v>
      </c>
      <c r="B11" s="60" t="s">
        <v>166</v>
      </c>
    </row>
    <row r="12" spans="1:6" x14ac:dyDescent="0.25">
      <c r="A12" s="113">
        <f>1-A11</f>
        <v>0.67613636363636365</v>
      </c>
      <c r="B12" s="60" t="s">
        <v>167</v>
      </c>
      <c r="C12" s="60" t="s">
        <v>168</v>
      </c>
    </row>
    <row r="14" spans="1:6" x14ac:dyDescent="0.25">
      <c r="A14" s="1">
        <f>ABS(A9*SQRT(A11*A12/A4))</f>
        <v>3.0917544579535019E-2</v>
      </c>
      <c r="B14" s="60" t="s">
        <v>169</v>
      </c>
      <c r="D14" s="60" t="s">
        <v>170</v>
      </c>
    </row>
    <row r="17" spans="1:10" x14ac:dyDescent="0.25">
      <c r="A17" s="110" t="s">
        <v>171</v>
      </c>
      <c r="B17" s="111">
        <f>A11-A14</f>
        <v>0.29294609178410136</v>
      </c>
      <c r="C17" s="112" t="s">
        <v>172</v>
      </c>
      <c r="D17" s="111">
        <f>A11+A14</f>
        <v>0.35478118094317135</v>
      </c>
      <c r="E17" s="111" t="s">
        <v>173</v>
      </c>
    </row>
    <row r="18" spans="1:10" ht="16.5" thickBot="1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20" spans="1:10" x14ac:dyDescent="0.25">
      <c r="A20" s="1" t="s">
        <v>178</v>
      </c>
    </row>
    <row r="22" spans="1:10" x14ac:dyDescent="0.25">
      <c r="A22" s="108">
        <v>0.95</v>
      </c>
      <c r="B22" s="60" t="s">
        <v>165</v>
      </c>
    </row>
    <row r="23" spans="1:10" x14ac:dyDescent="0.25">
      <c r="A23" s="1">
        <f>1-A22</f>
        <v>5.0000000000000044E-2</v>
      </c>
      <c r="B23" s="60" t="s">
        <v>80</v>
      </c>
    </row>
    <row r="24" spans="1:10" x14ac:dyDescent="0.25">
      <c r="A24" s="1">
        <f>A23/2</f>
        <v>2.5000000000000022E-2</v>
      </c>
      <c r="B24" s="60" t="s">
        <v>81</v>
      </c>
      <c r="G24" s="109" t="s">
        <v>137</v>
      </c>
      <c r="H24" s="1">
        <f xml:space="preserve"> (A25/A27)^2*A30*A31</f>
        <v>384.14588206941227</v>
      </c>
    </row>
    <row r="25" spans="1:10" ht="18.75" x14ac:dyDescent="0.35">
      <c r="A25" s="1">
        <f>ABS(_xlfn.NORM.INV(A24,0,1))</f>
        <v>1.9599639845400536</v>
      </c>
      <c r="B25" s="60" t="s">
        <v>174</v>
      </c>
      <c r="G25" s="109" t="s">
        <v>183</v>
      </c>
      <c r="H25" s="68">
        <f>ROUND(H24+0.499999,0)</f>
        <v>385</v>
      </c>
    </row>
    <row r="27" spans="1:10" x14ac:dyDescent="0.25">
      <c r="A27" s="2">
        <v>0.04</v>
      </c>
      <c r="B27" s="60" t="s">
        <v>179</v>
      </c>
    </row>
    <row r="28" spans="1:10" x14ac:dyDescent="0.25">
      <c r="A28" s="2"/>
      <c r="B28" s="1" t="s">
        <v>180</v>
      </c>
    </row>
    <row r="29" spans="1:10" x14ac:dyDescent="0.25">
      <c r="A29" s="2"/>
    </row>
    <row r="30" spans="1:10" x14ac:dyDescent="0.25">
      <c r="A30" s="2">
        <v>0.2</v>
      </c>
      <c r="B30" s="60" t="s">
        <v>181</v>
      </c>
    </row>
    <row r="31" spans="1:10" x14ac:dyDescent="0.25">
      <c r="A31" s="2">
        <v>0.8</v>
      </c>
      <c r="B31" s="60" t="s">
        <v>182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17"/>
  <sheetViews>
    <sheetView topLeftCell="A7" zoomScale="180" zoomScaleNormal="180" workbookViewId="0">
      <selection activeCell="H17" sqref="H17"/>
    </sheetView>
  </sheetViews>
  <sheetFormatPr defaultRowHeight="15.75" x14ac:dyDescent="0.25"/>
  <cols>
    <col min="1" max="16384" width="8.88671875" style="1"/>
  </cols>
  <sheetData>
    <row r="3" spans="1:8" x14ac:dyDescent="0.25">
      <c r="A3" s="108">
        <v>0.9</v>
      </c>
      <c r="B3" s="60" t="s">
        <v>79</v>
      </c>
    </row>
    <row r="4" spans="1:8" x14ac:dyDescent="0.25">
      <c r="A4" s="1">
        <f>1-A3</f>
        <v>9.9999999999999978E-2</v>
      </c>
      <c r="B4" s="60" t="s">
        <v>80</v>
      </c>
    </row>
    <row r="5" spans="1:8" x14ac:dyDescent="0.25">
      <c r="A5" s="1">
        <f>A4/2</f>
        <v>4.9999999999999989E-2</v>
      </c>
      <c r="B5" s="60" t="s">
        <v>81</v>
      </c>
    </row>
    <row r="6" spans="1:8" x14ac:dyDescent="0.25">
      <c r="A6" s="1">
        <f>1-A5</f>
        <v>0.95</v>
      </c>
      <c r="B6" s="60" t="s">
        <v>159</v>
      </c>
    </row>
    <row r="8" spans="1:8" x14ac:dyDescent="0.25">
      <c r="A8" s="108">
        <v>32</v>
      </c>
      <c r="B8" s="60" t="s">
        <v>77</v>
      </c>
    </row>
    <row r="9" spans="1:8" x14ac:dyDescent="0.25">
      <c r="A9" s="1">
        <f>A8-1</f>
        <v>31</v>
      </c>
      <c r="B9" s="60" t="s">
        <v>78</v>
      </c>
    </row>
    <row r="11" spans="1:8" x14ac:dyDescent="0.25">
      <c r="A11" s="68">
        <f>_xlfn.CHISQ.INV(A5,A$9)</f>
        <v>19.280568559129293</v>
      </c>
      <c r="B11" s="60" t="s">
        <v>160</v>
      </c>
      <c r="E11" s="108">
        <v>5.92</v>
      </c>
      <c r="F11" s="60" t="s">
        <v>162</v>
      </c>
    </row>
    <row r="12" spans="1:8" x14ac:dyDescent="0.25">
      <c r="A12" s="68">
        <f>_xlfn.CHISQ.INV(A6,A$9)</f>
        <v>44.985343280365136</v>
      </c>
      <c r="B12" s="60" t="s">
        <v>161</v>
      </c>
    </row>
    <row r="15" spans="1:8" x14ac:dyDescent="0.25">
      <c r="E15" s="60" t="s">
        <v>335</v>
      </c>
      <c r="G15" s="60" t="s">
        <v>336</v>
      </c>
    </row>
    <row r="16" spans="1:8" x14ac:dyDescent="0.25">
      <c r="D16" s="109" t="s">
        <v>339</v>
      </c>
      <c r="E16" s="68">
        <f>SQRT(A9*E11^2/A12)</f>
        <v>4.9143607554921545</v>
      </c>
      <c r="F16" s="2" t="s">
        <v>337</v>
      </c>
      <c r="G16" s="68">
        <f>SQRT(A9*E11^2/A11)</f>
        <v>7.5065889533310184</v>
      </c>
      <c r="H16" s="1" t="s">
        <v>338</v>
      </c>
    </row>
    <row r="17" spans="2:2" x14ac:dyDescent="0.25">
      <c r="B17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0354" r:id="rId4">
          <objectPr defaultSize="0" autoPict="0" r:id="rId5">
            <anchor moveWithCells="1" sizeWithCells="1">
              <from>
                <xdr:col>4</xdr:col>
                <xdr:colOff>0</xdr:colOff>
                <xdr:row>0</xdr:row>
                <xdr:rowOff>104775</xdr:rowOff>
              </from>
              <to>
                <xdr:col>7</xdr:col>
                <xdr:colOff>419100</xdr:colOff>
                <xdr:row>9</xdr:row>
                <xdr:rowOff>9525</xdr:rowOff>
              </to>
            </anchor>
          </objectPr>
        </oleObject>
      </mc:Choice>
      <mc:Fallback>
        <oleObject progId="Equation.DSMT4" shapeId="100354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zoomScale="170" zoomScaleNormal="170" workbookViewId="0">
      <selection activeCell="A21" sqref="A21"/>
    </sheetView>
  </sheetViews>
  <sheetFormatPr defaultRowHeight="15" x14ac:dyDescent="0.2"/>
  <cols>
    <col min="2" max="2" width="9.6640625" customWidth="1"/>
    <col min="3" max="3" width="9.88671875" customWidth="1"/>
    <col min="5" max="5" width="22" bestFit="1" customWidth="1"/>
  </cols>
  <sheetData>
    <row r="1" spans="1:11" ht="15.75" x14ac:dyDescent="0.25">
      <c r="A1" s="68" t="s">
        <v>184</v>
      </c>
      <c r="B1" s="67"/>
      <c r="C1" s="67"/>
      <c r="D1" s="67"/>
      <c r="E1" s="67"/>
      <c r="F1" s="67"/>
    </row>
    <row r="2" spans="1:11" x14ac:dyDescent="0.2">
      <c r="A2" s="67" t="s">
        <v>112</v>
      </c>
      <c r="B2" s="67"/>
      <c r="C2" s="67"/>
      <c r="D2" s="67"/>
      <c r="E2" s="67"/>
      <c r="F2" s="67"/>
    </row>
    <row r="3" spans="1:11" x14ac:dyDescent="0.2">
      <c r="A3" s="117"/>
      <c r="B3" s="117"/>
      <c r="C3" s="117"/>
      <c r="D3" s="117"/>
      <c r="E3" s="117"/>
      <c r="F3" s="117"/>
    </row>
    <row r="4" spans="1:11" x14ac:dyDescent="0.2">
      <c r="A4" s="117" t="s">
        <v>197</v>
      </c>
      <c r="B4" s="117"/>
      <c r="C4" s="117"/>
      <c r="D4" s="117"/>
      <c r="E4" s="158">
        <v>0.02</v>
      </c>
    </row>
    <row r="5" spans="1:11" ht="15.75" thickBot="1" x14ac:dyDescent="0.25">
      <c r="A5" s="117"/>
      <c r="B5" s="117"/>
      <c r="C5" s="117"/>
      <c r="D5" s="117"/>
      <c r="E5" s="117"/>
      <c r="F5" s="117"/>
    </row>
    <row r="6" spans="1:11" x14ac:dyDescent="0.2">
      <c r="A6" s="118" t="s">
        <v>194</v>
      </c>
      <c r="B6" s="118" t="s">
        <v>195</v>
      </c>
      <c r="C6" s="118" t="s">
        <v>196</v>
      </c>
      <c r="E6" s="116" t="s">
        <v>198</v>
      </c>
    </row>
    <row r="7" spans="1:11" x14ac:dyDescent="0.2">
      <c r="A7" s="119" t="s">
        <v>189</v>
      </c>
      <c r="B7" s="119" t="s">
        <v>190</v>
      </c>
      <c r="C7" s="119" t="s">
        <v>193</v>
      </c>
      <c r="D7" s="116"/>
      <c r="G7" s="117"/>
      <c r="H7" s="117"/>
      <c r="I7" s="117"/>
      <c r="J7" s="117"/>
      <c r="K7" s="117"/>
    </row>
    <row r="8" spans="1:11" ht="15.75" thickBot="1" x14ac:dyDescent="0.25">
      <c r="A8" s="182">
        <f>E4</f>
        <v>0.02</v>
      </c>
      <c r="B8" s="183">
        <f>E4/2</f>
        <v>0.01</v>
      </c>
      <c r="C8" s="182">
        <f>1-E4</f>
        <v>0.98</v>
      </c>
      <c r="G8" s="117"/>
      <c r="H8" s="58"/>
      <c r="I8" s="117"/>
      <c r="J8" s="117"/>
      <c r="K8" s="117"/>
    </row>
    <row r="9" spans="1:11" ht="15.75" thickBot="1" x14ac:dyDescent="0.25">
      <c r="B9" s="19"/>
      <c r="E9" s="19"/>
      <c r="G9" s="117"/>
      <c r="H9" s="58"/>
      <c r="I9" s="117"/>
      <c r="J9" s="117"/>
      <c r="K9" s="117"/>
    </row>
    <row r="10" spans="1:11" ht="15.75" thickBot="1" x14ac:dyDescent="0.25">
      <c r="A10" s="322" t="s">
        <v>188</v>
      </c>
      <c r="B10" s="323"/>
      <c r="C10" s="324"/>
      <c r="E10" s="116"/>
      <c r="F10" s="29"/>
      <c r="G10" s="117"/>
      <c r="H10" s="58"/>
      <c r="I10" s="117"/>
      <c r="J10" s="117"/>
      <c r="K10" s="117"/>
    </row>
    <row r="11" spans="1:11" x14ac:dyDescent="0.2">
      <c r="A11" s="190">
        <f>(_xlfn.T.INV(A8,$A18))</f>
        <v>-2.1381587471270325</v>
      </c>
      <c r="B11" s="191">
        <f>ABS(_xlfn.T.INV(B8/2,$A18))</f>
        <v>2.733276642350837</v>
      </c>
      <c r="C11" s="189">
        <f>(_xlfn.T.INV(C8,$A18))</f>
        <v>2.1381587471270325</v>
      </c>
      <c r="F11" s="29"/>
      <c r="G11" s="117"/>
      <c r="H11" s="58"/>
      <c r="I11" s="117"/>
      <c r="J11" s="117"/>
      <c r="K11" s="117"/>
    </row>
    <row r="12" spans="1:11" ht="15.75" thickBot="1" x14ac:dyDescent="0.25">
      <c r="A12" s="40" t="s">
        <v>185</v>
      </c>
      <c r="B12" s="130" t="s">
        <v>186</v>
      </c>
      <c r="C12" s="134" t="s">
        <v>187</v>
      </c>
      <c r="G12" s="117"/>
      <c r="H12" s="117"/>
      <c r="I12" s="117"/>
      <c r="J12" s="117"/>
      <c r="K12" s="117"/>
    </row>
    <row r="13" spans="1:11" x14ac:dyDescent="0.2">
      <c r="D13" s="124">
        <f>(A15-A20)/(A16/SQRT(A17))</f>
        <v>-2.7273807250082847</v>
      </c>
      <c r="E13" s="44" t="s">
        <v>191</v>
      </c>
      <c r="F13" s="29"/>
      <c r="G13" s="29"/>
      <c r="H13" s="29"/>
      <c r="I13" s="29"/>
      <c r="J13" s="29"/>
    </row>
    <row r="14" spans="1:11" ht="15.75" thickBot="1" x14ac:dyDescent="0.25">
      <c r="A14" t="s">
        <v>242</v>
      </c>
      <c r="F14" s="29"/>
      <c r="G14" s="115"/>
      <c r="H14" s="115"/>
      <c r="I14" s="115"/>
      <c r="J14" s="29"/>
    </row>
    <row r="15" spans="1:11" x14ac:dyDescent="0.2">
      <c r="A15" s="50">
        <v>27.1</v>
      </c>
      <c r="B15" s="63" t="s">
        <v>76</v>
      </c>
      <c r="F15" s="29"/>
      <c r="G15" s="29"/>
      <c r="H15" s="44"/>
      <c r="I15" s="29"/>
      <c r="J15" s="29"/>
    </row>
    <row r="16" spans="1:11" x14ac:dyDescent="0.2">
      <c r="A16" s="51">
        <v>6.2</v>
      </c>
      <c r="B16" s="129" t="s">
        <v>30</v>
      </c>
      <c r="G16" s="29"/>
      <c r="H16" s="44"/>
      <c r="I16" s="29"/>
      <c r="J16" s="29"/>
    </row>
    <row r="17" spans="1:10" x14ac:dyDescent="0.2">
      <c r="A17" s="51">
        <v>34</v>
      </c>
      <c r="B17" s="129" t="s">
        <v>77</v>
      </c>
      <c r="D17" s="29"/>
      <c r="E17" s="29"/>
      <c r="F17" s="29"/>
      <c r="G17" s="29"/>
      <c r="H17" s="29"/>
      <c r="I17" s="29"/>
      <c r="J17" s="29"/>
    </row>
    <row r="18" spans="1:10" x14ac:dyDescent="0.2">
      <c r="A18" s="28">
        <f>A17-1</f>
        <v>33</v>
      </c>
      <c r="B18" s="129" t="s">
        <v>78</v>
      </c>
      <c r="G18" s="29"/>
      <c r="H18" s="29"/>
      <c r="I18" s="29"/>
      <c r="J18" s="29"/>
    </row>
    <row r="19" spans="1:10" x14ac:dyDescent="0.2">
      <c r="A19" s="28"/>
      <c r="B19" s="30"/>
    </row>
    <row r="20" spans="1:10" ht="20.25" thickBot="1" x14ac:dyDescent="0.4">
      <c r="A20" s="52">
        <v>30</v>
      </c>
      <c r="B20" s="39" t="s">
        <v>192</v>
      </c>
      <c r="C20" s="29"/>
      <c r="G20" s="29"/>
      <c r="H20" s="29"/>
      <c r="I20" s="29"/>
      <c r="J20" s="29"/>
    </row>
  </sheetData>
  <mergeCells count="1">
    <mergeCell ref="A10:C10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30721" r:id="rId4">
          <objectPr defaultSize="0" autoPict="0" r:id="rId5">
            <anchor moveWithCells="1" sizeWithCells="1">
              <from>
                <xdr:col>4</xdr:col>
                <xdr:colOff>523875</xdr:colOff>
                <xdr:row>6</xdr:row>
                <xdr:rowOff>38100</xdr:rowOff>
              </from>
              <to>
                <xdr:col>4</xdr:col>
                <xdr:colOff>1343025</xdr:colOff>
                <xdr:row>11</xdr:row>
                <xdr:rowOff>38100</xdr:rowOff>
              </to>
            </anchor>
          </objectPr>
        </oleObject>
      </mc:Choice>
      <mc:Fallback>
        <oleObject progId="Equation.DSMT4" shapeId="3072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zoomScale="170" zoomScaleNormal="170" workbookViewId="0"/>
  </sheetViews>
  <sheetFormatPr defaultRowHeight="15" x14ac:dyDescent="0.2"/>
  <cols>
    <col min="3" max="3" width="9.77734375" customWidth="1"/>
    <col min="5" max="5" width="22" bestFit="1" customWidth="1"/>
  </cols>
  <sheetData>
    <row r="1" spans="1:11" ht="15.75" x14ac:dyDescent="0.25">
      <c r="A1" s="68" t="s">
        <v>199</v>
      </c>
      <c r="B1" s="67"/>
      <c r="C1" s="67"/>
      <c r="D1" s="67"/>
      <c r="E1" s="67"/>
      <c r="F1" s="67"/>
    </row>
    <row r="2" spans="1:11" x14ac:dyDescent="0.2">
      <c r="A2" s="67" t="s">
        <v>112</v>
      </c>
      <c r="B2" s="67"/>
      <c r="C2" s="67"/>
      <c r="D2" s="67"/>
      <c r="E2" s="67"/>
      <c r="F2" s="67"/>
    </row>
    <row r="3" spans="1:11" x14ac:dyDescent="0.2">
      <c r="A3" s="117"/>
      <c r="B3" s="117"/>
      <c r="C3" s="117"/>
      <c r="D3" s="117"/>
      <c r="E3" s="117"/>
      <c r="F3" s="117"/>
    </row>
    <row r="4" spans="1:11" x14ac:dyDescent="0.2">
      <c r="A4" s="117" t="s">
        <v>197</v>
      </c>
      <c r="B4" s="117"/>
      <c r="C4" s="117"/>
      <c r="D4" s="117"/>
      <c r="E4" s="158">
        <v>2.5000000000000001E-2</v>
      </c>
    </row>
    <row r="5" spans="1:11" ht="15.75" thickBot="1" x14ac:dyDescent="0.25">
      <c r="A5" s="117"/>
      <c r="B5" s="117"/>
      <c r="C5" s="117"/>
      <c r="D5" s="117"/>
      <c r="E5" s="117"/>
      <c r="F5" s="117"/>
    </row>
    <row r="6" spans="1:11" x14ac:dyDescent="0.2">
      <c r="A6" s="118" t="s">
        <v>194</v>
      </c>
      <c r="B6" s="118" t="s">
        <v>195</v>
      </c>
      <c r="C6" s="118" t="s">
        <v>196</v>
      </c>
      <c r="E6" s="116" t="s">
        <v>198</v>
      </c>
      <c r="F6" s="117"/>
    </row>
    <row r="7" spans="1:11" x14ac:dyDescent="0.2">
      <c r="A7" s="119" t="s">
        <v>189</v>
      </c>
      <c r="B7" s="119" t="s">
        <v>190</v>
      </c>
      <c r="C7" s="119" t="s">
        <v>193</v>
      </c>
      <c r="D7" s="116"/>
      <c r="G7" s="117"/>
      <c r="H7" s="117"/>
      <c r="I7" s="117"/>
      <c r="J7" s="117"/>
      <c r="K7" s="117"/>
    </row>
    <row r="8" spans="1:11" ht="15.75" thickBot="1" x14ac:dyDescent="0.25">
      <c r="A8" s="182">
        <f>E4</f>
        <v>2.5000000000000001E-2</v>
      </c>
      <c r="B8" s="183">
        <f>E4/2</f>
        <v>1.2500000000000001E-2</v>
      </c>
      <c r="C8" s="182">
        <f>E4</f>
        <v>2.5000000000000001E-2</v>
      </c>
      <c r="G8" s="117"/>
      <c r="H8" s="58"/>
      <c r="I8" s="117"/>
      <c r="J8" s="117"/>
      <c r="K8" s="117"/>
    </row>
    <row r="9" spans="1:11" x14ac:dyDescent="0.2">
      <c r="B9" s="19"/>
      <c r="E9" s="19"/>
      <c r="G9" s="117"/>
      <c r="H9" s="58"/>
      <c r="I9" s="117"/>
      <c r="J9" s="117"/>
      <c r="K9" s="117"/>
    </row>
    <row r="10" spans="1:11" ht="15.75" thickBot="1" x14ac:dyDescent="0.25">
      <c r="A10" s="325" t="s">
        <v>203</v>
      </c>
      <c r="B10" s="325"/>
      <c r="C10" s="325"/>
      <c r="E10" s="116"/>
      <c r="G10" s="117"/>
      <c r="H10" s="58"/>
      <c r="I10" s="117"/>
      <c r="J10" s="117"/>
      <c r="K10" s="117"/>
    </row>
    <row r="11" spans="1:11" x14ac:dyDescent="0.2">
      <c r="A11" s="184">
        <f xml:space="preserve"> _xlfn.NORM.INV(A8,0,1)</f>
        <v>-1.9599639845400538</v>
      </c>
      <c r="B11" s="185">
        <f>ABS(_xlfn.NORM.INV(A8/2,0,1))</f>
        <v>2.2414027276049446</v>
      </c>
      <c r="C11" s="186">
        <f>(_xlfn.NORM.INV(1-C8,0,1))</f>
        <v>1.9599639845400536</v>
      </c>
      <c r="G11" s="117"/>
      <c r="H11" s="58"/>
      <c r="I11" s="117"/>
      <c r="J11" s="117"/>
      <c r="K11" s="117"/>
    </row>
    <row r="12" spans="1:11" ht="15.75" thickBot="1" x14ac:dyDescent="0.25">
      <c r="A12" s="40" t="s">
        <v>185</v>
      </c>
      <c r="B12" s="130" t="s">
        <v>186</v>
      </c>
      <c r="C12" s="134" t="s">
        <v>187</v>
      </c>
      <c r="G12" s="117"/>
      <c r="H12" s="117"/>
      <c r="I12" s="117"/>
      <c r="J12" s="117"/>
      <c r="K12" s="117"/>
    </row>
    <row r="13" spans="1:11" x14ac:dyDescent="0.2">
      <c r="F13" s="29"/>
      <c r="G13" s="29"/>
      <c r="H13" s="29"/>
      <c r="I13" s="29"/>
      <c r="J13" s="29"/>
    </row>
    <row r="14" spans="1:11" x14ac:dyDescent="0.2">
      <c r="A14" t="s">
        <v>75</v>
      </c>
      <c r="D14" s="188">
        <f>(A18-A19)/SQRT(A19*A20/A17)</f>
        <v>2.0844667367913687</v>
      </c>
      <c r="E14" s="44" t="s">
        <v>191</v>
      </c>
      <c r="F14" s="29"/>
      <c r="G14" s="115"/>
      <c r="H14" s="115"/>
      <c r="I14" s="115"/>
      <c r="J14" s="29"/>
    </row>
    <row r="15" spans="1:11" x14ac:dyDescent="0.2">
      <c r="A15" s="53">
        <v>228</v>
      </c>
      <c r="B15" s="19" t="s">
        <v>155</v>
      </c>
      <c r="G15" s="29"/>
      <c r="H15" s="44"/>
      <c r="I15" s="29"/>
      <c r="J15" s="29"/>
    </row>
    <row r="16" spans="1:11" x14ac:dyDescent="0.2">
      <c r="A16" s="53">
        <v>74</v>
      </c>
      <c r="B16" s="19" t="s">
        <v>156</v>
      </c>
      <c r="F16" s="29"/>
      <c r="G16" s="29"/>
      <c r="H16" s="44"/>
      <c r="I16" s="29"/>
      <c r="J16" s="29"/>
    </row>
    <row r="17" spans="1:10" x14ac:dyDescent="0.2">
      <c r="A17" s="53">
        <v>302</v>
      </c>
      <c r="B17" s="19" t="s">
        <v>200</v>
      </c>
      <c r="F17" s="29"/>
      <c r="G17" s="29"/>
      <c r="H17" s="29"/>
      <c r="I17" s="29"/>
      <c r="J17" s="29"/>
    </row>
    <row r="18" spans="1:10" x14ac:dyDescent="0.2">
      <c r="A18" s="187">
        <f>A15/A17</f>
        <v>0.75496688741721851</v>
      </c>
      <c r="B18" s="19" t="s">
        <v>204</v>
      </c>
    </row>
    <row r="19" spans="1:10" x14ac:dyDescent="0.2">
      <c r="A19" s="53">
        <v>0.7</v>
      </c>
      <c r="B19" s="19" t="s">
        <v>201</v>
      </c>
    </row>
    <row r="20" spans="1:10" x14ac:dyDescent="0.2">
      <c r="A20" s="53">
        <v>0.3</v>
      </c>
      <c r="B20" s="19" t="s">
        <v>202</v>
      </c>
    </row>
  </sheetData>
  <mergeCells count="1">
    <mergeCell ref="A10:C10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31745" r:id="rId4">
          <objectPr defaultSize="0" autoPict="0" r:id="rId5">
            <anchor moveWithCells="1" sizeWithCells="1">
              <from>
                <xdr:col>4</xdr:col>
                <xdr:colOff>552450</xdr:colOff>
                <xdr:row>6</xdr:row>
                <xdr:rowOff>95250</xdr:rowOff>
              </from>
              <to>
                <xdr:col>4</xdr:col>
                <xdr:colOff>1266825</xdr:colOff>
                <xdr:row>11</xdr:row>
                <xdr:rowOff>57150</xdr:rowOff>
              </to>
            </anchor>
          </objectPr>
        </oleObject>
      </mc:Choice>
      <mc:Fallback>
        <oleObject progId="Equation.DSMT4" shapeId="3174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7"/>
  <sheetViews>
    <sheetView zoomScale="150" zoomScaleNormal="150" workbookViewId="0">
      <selection activeCell="A5" sqref="A5:D9"/>
    </sheetView>
  </sheetViews>
  <sheetFormatPr defaultRowHeight="15" x14ac:dyDescent="0.2"/>
  <cols>
    <col min="1" max="3" width="8.88671875" style="117"/>
    <col min="5" max="5" width="2.6640625" customWidth="1"/>
    <col min="6" max="6" width="11.109375" style="121" bestFit="1" customWidth="1"/>
    <col min="7" max="7" width="8.88671875" style="121"/>
    <col min="8" max="8" width="9.44140625" style="121" bestFit="1" customWidth="1"/>
    <col min="10" max="10" width="1.21875" customWidth="1"/>
  </cols>
  <sheetData>
    <row r="1" spans="1:11" ht="15.75" x14ac:dyDescent="0.25">
      <c r="A1" s="131" t="s">
        <v>223</v>
      </c>
      <c r="B1" s="124"/>
      <c r="C1" s="124"/>
      <c r="D1" s="124"/>
      <c r="E1" s="124"/>
      <c r="F1" s="124"/>
      <c r="G1" s="123"/>
    </row>
    <row r="2" spans="1:11" ht="15.75" x14ac:dyDescent="0.25">
      <c r="A2" s="131" t="s">
        <v>227</v>
      </c>
      <c r="B2" s="124"/>
      <c r="C2" s="124"/>
      <c r="D2" s="124"/>
      <c r="E2" s="124"/>
      <c r="F2" s="124"/>
      <c r="G2" s="133"/>
      <c r="H2" s="132"/>
    </row>
    <row r="3" spans="1:11" x14ac:dyDescent="0.2">
      <c r="A3" s="124" t="s">
        <v>112</v>
      </c>
      <c r="B3" s="124"/>
      <c r="C3" s="124"/>
      <c r="D3" s="124"/>
      <c r="E3" s="124"/>
      <c r="F3" s="124"/>
      <c r="G3" s="123"/>
    </row>
    <row r="4" spans="1:11" ht="15.75" thickBot="1" x14ac:dyDescent="0.25">
      <c r="A4"/>
      <c r="B4"/>
      <c r="C4"/>
    </row>
    <row r="5" spans="1:11" ht="15.75" thickBot="1" x14ac:dyDescent="0.25">
      <c r="A5"/>
      <c r="B5" s="326" t="s">
        <v>219</v>
      </c>
      <c r="C5" s="326"/>
      <c r="D5" s="326"/>
      <c r="F5" s="126"/>
      <c r="G5" s="127"/>
      <c r="H5" s="127"/>
      <c r="I5" s="26"/>
      <c r="J5" s="26"/>
      <c r="K5" s="27"/>
    </row>
    <row r="6" spans="1:11" x14ac:dyDescent="0.2">
      <c r="A6"/>
      <c r="B6" s="126" t="s">
        <v>208</v>
      </c>
      <c r="C6" s="127">
        <f>AVERAGE(C16:C137)</f>
        <v>1.5</v>
      </c>
      <c r="D6" s="63" t="s">
        <v>217</v>
      </c>
      <c r="F6" s="128"/>
      <c r="G6" s="137"/>
      <c r="H6" s="62"/>
      <c r="I6" s="29"/>
      <c r="J6" s="29"/>
      <c r="K6" s="30"/>
    </row>
    <row r="7" spans="1:11" ht="19.5" x14ac:dyDescent="0.35">
      <c r="A7"/>
      <c r="B7" s="128" t="s">
        <v>209</v>
      </c>
      <c r="C7" s="125">
        <f>_xlfn.STDEV.S(C16:C137)</f>
        <v>1.51657508881031</v>
      </c>
      <c r="D7" s="129" t="s">
        <v>220</v>
      </c>
      <c r="F7" s="128"/>
      <c r="G7" s="62"/>
      <c r="H7" s="62"/>
      <c r="I7" s="29"/>
      <c r="J7" s="29"/>
      <c r="K7" s="30"/>
    </row>
    <row r="8" spans="1:11" ht="15.75" thickBot="1" x14ac:dyDescent="0.25">
      <c r="A8"/>
      <c r="B8" s="128" t="s">
        <v>137</v>
      </c>
      <c r="C8" s="62">
        <f>COUNT(C16:C137)</f>
        <v>6</v>
      </c>
      <c r="D8" s="129" t="s">
        <v>77</v>
      </c>
      <c r="F8" s="40"/>
      <c r="G8" s="130"/>
      <c r="H8" s="130"/>
      <c r="I8" s="24"/>
      <c r="J8" s="24"/>
      <c r="K8" s="32"/>
    </row>
    <row r="9" spans="1:11" ht="15.75" thickBot="1" x14ac:dyDescent="0.25">
      <c r="A9"/>
      <c r="B9" s="40" t="s">
        <v>214</v>
      </c>
      <c r="C9" s="130">
        <f>C8-1</f>
        <v>5</v>
      </c>
      <c r="D9" s="32"/>
    </row>
    <row r="10" spans="1:11" x14ac:dyDescent="0.2">
      <c r="A10"/>
      <c r="B10"/>
      <c r="C10"/>
    </row>
    <row r="11" spans="1:11" x14ac:dyDescent="0.2">
      <c r="A11" s="53" t="s">
        <v>234</v>
      </c>
      <c r="B11" s="53"/>
      <c r="C11" s="53"/>
      <c r="D11" s="53"/>
      <c r="F11" s="122" t="s">
        <v>210</v>
      </c>
      <c r="G11" s="55">
        <v>0.98</v>
      </c>
    </row>
    <row r="12" spans="1:11" x14ac:dyDescent="0.2">
      <c r="A12" s="53" t="s">
        <v>235</v>
      </c>
      <c r="B12" s="53"/>
      <c r="C12" s="53"/>
      <c r="D12" s="53"/>
      <c r="F12" s="121" t="s">
        <v>211</v>
      </c>
      <c r="G12" s="136">
        <f>1-G11</f>
        <v>2.0000000000000018E-2</v>
      </c>
    </row>
    <row r="13" spans="1:11" x14ac:dyDescent="0.2">
      <c r="A13" t="s">
        <v>221</v>
      </c>
      <c r="B13"/>
      <c r="C13"/>
      <c r="F13" s="121" t="s">
        <v>212</v>
      </c>
      <c r="G13" s="121">
        <f>G12/2</f>
        <v>1.0000000000000009E-2</v>
      </c>
    </row>
    <row r="14" spans="1:11" x14ac:dyDescent="0.2">
      <c r="A14" s="121" t="s">
        <v>205</v>
      </c>
      <c r="B14" s="121" t="s">
        <v>206</v>
      </c>
      <c r="C14" s="121" t="s">
        <v>207</v>
      </c>
    </row>
    <row r="15" spans="1:11" x14ac:dyDescent="0.2">
      <c r="A15" s="121"/>
      <c r="B15" s="121"/>
      <c r="C15" s="121" t="s">
        <v>222</v>
      </c>
      <c r="F15" s="121" t="s">
        <v>213</v>
      </c>
      <c r="G15" s="121">
        <f>_xlfn.T.INV(1-G13,C9)</f>
        <v>3.3649299989072183</v>
      </c>
    </row>
    <row r="16" spans="1:11" x14ac:dyDescent="0.2">
      <c r="A16" s="55">
        <v>8</v>
      </c>
      <c r="B16" s="55">
        <v>6</v>
      </c>
      <c r="C16" s="123">
        <f>A16-B16</f>
        <v>2</v>
      </c>
    </row>
    <row r="17" spans="1:12" x14ac:dyDescent="0.2">
      <c r="A17" s="55">
        <v>6</v>
      </c>
      <c r="B17" s="55">
        <v>5</v>
      </c>
      <c r="C17" s="152">
        <f t="shared" ref="C17:C21" si="0">A17-B17</f>
        <v>1</v>
      </c>
      <c r="I17" t="s">
        <v>215</v>
      </c>
    </row>
    <row r="18" spans="1:12" x14ac:dyDescent="0.2">
      <c r="A18" s="55">
        <v>6</v>
      </c>
      <c r="B18" s="55">
        <v>5</v>
      </c>
      <c r="C18" s="152">
        <f t="shared" si="0"/>
        <v>1</v>
      </c>
      <c r="H18" s="122" t="s">
        <v>171</v>
      </c>
      <c r="I18">
        <f>C6-G15*C7/SQRT(C8)</f>
        <v>-0.58336002506988605</v>
      </c>
      <c r="J18" t="s">
        <v>216</v>
      </c>
      <c r="K18">
        <f>C6+G15*C7/SQRT(C8)</f>
        <v>3.583360025069886</v>
      </c>
      <c r="L18" t="s">
        <v>173</v>
      </c>
    </row>
    <row r="19" spans="1:12" x14ac:dyDescent="0.2">
      <c r="A19" s="55">
        <v>9</v>
      </c>
      <c r="B19" s="55">
        <v>6</v>
      </c>
      <c r="C19" s="152">
        <f t="shared" si="0"/>
        <v>3</v>
      </c>
    </row>
    <row r="20" spans="1:12" x14ac:dyDescent="0.2">
      <c r="A20" s="55">
        <v>7</v>
      </c>
      <c r="B20" s="55">
        <v>8</v>
      </c>
      <c r="C20" s="152">
        <f t="shared" si="0"/>
        <v>-1</v>
      </c>
    </row>
    <row r="21" spans="1:12" x14ac:dyDescent="0.2">
      <c r="A21" s="55">
        <v>8</v>
      </c>
      <c r="B21" s="55">
        <v>5</v>
      </c>
      <c r="C21" s="152">
        <f t="shared" si="0"/>
        <v>3</v>
      </c>
    </row>
    <row r="22" spans="1:12" x14ac:dyDescent="0.2">
      <c r="A22" s="55"/>
      <c r="B22" s="55"/>
      <c r="C22" s="123"/>
    </row>
    <row r="23" spans="1:12" x14ac:dyDescent="0.2">
      <c r="A23" s="55"/>
      <c r="B23" s="55"/>
      <c r="C23" s="124"/>
    </row>
    <row r="24" spans="1:12" x14ac:dyDescent="0.2">
      <c r="A24" s="55"/>
      <c r="B24" s="55"/>
      <c r="C24" s="124"/>
    </row>
    <row r="25" spans="1:12" x14ac:dyDescent="0.2">
      <c r="A25" s="55"/>
      <c r="B25" s="53"/>
      <c r="C25" s="124"/>
    </row>
    <row r="26" spans="1:12" x14ac:dyDescent="0.2">
      <c r="A26" s="55"/>
      <c r="B26" s="53"/>
      <c r="C26" s="124"/>
    </row>
    <row r="27" spans="1:12" x14ac:dyDescent="0.2">
      <c r="A27" s="53"/>
      <c r="B27" s="53"/>
      <c r="C27" s="124"/>
    </row>
    <row r="28" spans="1:12" x14ac:dyDescent="0.2">
      <c r="A28" s="53"/>
      <c r="B28" s="53"/>
      <c r="C28" s="124"/>
    </row>
    <row r="29" spans="1:12" x14ac:dyDescent="0.2">
      <c r="A29" s="53"/>
      <c r="B29" s="53"/>
      <c r="C29" s="124"/>
    </row>
    <row r="30" spans="1:12" x14ac:dyDescent="0.2">
      <c r="A30" s="53"/>
      <c r="B30" s="53"/>
      <c r="C30" s="124"/>
    </row>
    <row r="31" spans="1:12" x14ac:dyDescent="0.2">
      <c r="A31" s="53"/>
      <c r="B31" s="53"/>
      <c r="C31" s="124"/>
    </row>
    <row r="32" spans="1:12" x14ac:dyDescent="0.2">
      <c r="A32" s="53"/>
      <c r="B32" s="53"/>
      <c r="C32" s="124"/>
    </row>
    <row r="33" spans="1:12" x14ac:dyDescent="0.2">
      <c r="A33" s="53"/>
      <c r="B33" s="53"/>
      <c r="C33" s="124"/>
    </row>
    <row r="34" spans="1:12" x14ac:dyDescent="0.2">
      <c r="A34" s="53"/>
      <c r="B34" s="53"/>
      <c r="C34" s="124"/>
    </row>
    <row r="35" spans="1:12" x14ac:dyDescent="0.2">
      <c r="A35" s="53"/>
      <c r="B35" s="53"/>
      <c r="C35" s="124"/>
    </row>
    <row r="36" spans="1:12" x14ac:dyDescent="0.2">
      <c r="A36" s="53"/>
      <c r="B36" s="53"/>
      <c r="C36" s="124"/>
    </row>
    <row r="37" spans="1:12" x14ac:dyDescent="0.2">
      <c r="A37" s="53"/>
      <c r="B37" s="53"/>
      <c r="C37" s="124"/>
    </row>
    <row r="38" spans="1:12" x14ac:dyDescent="0.2">
      <c r="A38" s="53"/>
      <c r="B38" s="53"/>
      <c r="C38" s="124"/>
      <c r="E38" s="117"/>
      <c r="F38" s="136"/>
      <c r="G38" s="136"/>
      <c r="H38" s="136"/>
      <c r="I38" s="117"/>
      <c r="J38" s="117"/>
      <c r="K38" s="117"/>
      <c r="L38" s="117"/>
    </row>
    <row r="39" spans="1:12" ht="15.75" x14ac:dyDescent="0.25">
      <c r="A39" s="53"/>
      <c r="B39" s="53"/>
      <c r="C39" s="124"/>
      <c r="E39" s="117"/>
      <c r="F39" s="139"/>
      <c r="G39" s="117"/>
      <c r="H39" s="117"/>
      <c r="I39" s="117"/>
      <c r="J39" s="117"/>
      <c r="K39" s="117"/>
      <c r="L39" s="117"/>
    </row>
    <row r="40" spans="1:12" x14ac:dyDescent="0.2">
      <c r="A40" s="53"/>
      <c r="B40" s="53"/>
      <c r="C40" s="124"/>
      <c r="E40" s="117"/>
      <c r="F40" s="117"/>
      <c r="G40" s="117"/>
      <c r="H40" s="117"/>
      <c r="I40" s="117"/>
      <c r="J40" s="117"/>
      <c r="K40" s="117"/>
      <c r="L40" s="117"/>
    </row>
    <row r="41" spans="1:12" x14ac:dyDescent="0.2">
      <c r="A41" s="53"/>
      <c r="B41" s="53"/>
      <c r="C41" s="124"/>
      <c r="E41" s="117"/>
      <c r="F41" s="136"/>
      <c r="G41" s="136"/>
      <c r="H41" s="136"/>
      <c r="I41" s="117"/>
      <c r="J41" s="117"/>
      <c r="K41" s="117"/>
      <c r="L41" s="117"/>
    </row>
    <row r="42" spans="1:12" x14ac:dyDescent="0.2">
      <c r="A42" s="53"/>
      <c r="B42" s="53"/>
      <c r="C42" s="124"/>
      <c r="E42" s="117"/>
      <c r="F42" s="136"/>
      <c r="G42" s="136"/>
      <c r="H42" s="136"/>
      <c r="I42" s="117"/>
      <c r="J42" s="117"/>
      <c r="K42" s="117"/>
      <c r="L42" s="117"/>
    </row>
    <row r="43" spans="1:12" x14ac:dyDescent="0.2">
      <c r="A43" s="53"/>
      <c r="B43" s="53"/>
      <c r="C43" s="124"/>
    </row>
    <row r="44" spans="1:12" x14ac:dyDescent="0.2">
      <c r="A44" s="53"/>
      <c r="B44" s="53"/>
      <c r="C44" s="124"/>
    </row>
    <row r="45" spans="1:12" x14ac:dyDescent="0.2">
      <c r="A45" s="53"/>
      <c r="B45" s="53"/>
      <c r="C45" s="124"/>
    </row>
    <row r="46" spans="1:12" x14ac:dyDescent="0.2">
      <c r="A46" s="53"/>
      <c r="B46" s="53"/>
      <c r="C46" s="124"/>
    </row>
    <row r="47" spans="1:12" x14ac:dyDescent="0.2">
      <c r="A47" s="53"/>
      <c r="B47" s="53"/>
      <c r="C47" s="124"/>
    </row>
    <row r="48" spans="1:12" x14ac:dyDescent="0.2">
      <c r="A48" s="53"/>
      <c r="B48" s="53"/>
      <c r="C48" s="124"/>
    </row>
    <row r="49" spans="1:3" x14ac:dyDescent="0.2">
      <c r="A49" s="53"/>
      <c r="B49" s="53"/>
      <c r="C49" s="124"/>
    </row>
    <row r="50" spans="1:3" x14ac:dyDescent="0.2">
      <c r="A50" s="53"/>
      <c r="B50" s="53"/>
      <c r="C50" s="124"/>
    </row>
    <row r="51" spans="1:3" x14ac:dyDescent="0.2">
      <c r="A51" s="53"/>
      <c r="B51" s="53"/>
      <c r="C51" s="124"/>
    </row>
    <row r="52" spans="1:3" x14ac:dyDescent="0.2">
      <c r="A52" s="53"/>
      <c r="B52" s="53"/>
      <c r="C52" s="124"/>
    </row>
    <row r="53" spans="1:3" x14ac:dyDescent="0.2">
      <c r="A53" s="53"/>
      <c r="B53" s="53"/>
      <c r="C53" s="124"/>
    </row>
    <row r="54" spans="1:3" x14ac:dyDescent="0.2">
      <c r="A54" s="53"/>
      <c r="B54" s="53"/>
      <c r="C54" s="124"/>
    </row>
    <row r="55" spans="1:3" x14ac:dyDescent="0.2">
      <c r="A55" s="53"/>
      <c r="B55" s="53"/>
      <c r="C55" s="124"/>
    </row>
    <row r="56" spans="1:3" x14ac:dyDescent="0.2">
      <c r="A56" s="53"/>
      <c r="B56" s="53"/>
      <c r="C56" s="124"/>
    </row>
    <row r="57" spans="1:3" x14ac:dyDescent="0.2">
      <c r="A57" s="53"/>
      <c r="B57" s="53"/>
      <c r="C57" s="124"/>
    </row>
    <row r="58" spans="1:3" x14ac:dyDescent="0.2">
      <c r="A58" s="53"/>
      <c r="B58" s="53"/>
      <c r="C58" s="124"/>
    </row>
    <row r="59" spans="1:3" x14ac:dyDescent="0.2">
      <c r="A59" s="53"/>
      <c r="B59" s="53"/>
      <c r="C59" s="124"/>
    </row>
    <row r="60" spans="1:3" x14ac:dyDescent="0.2">
      <c r="A60" s="53"/>
      <c r="B60" s="53"/>
      <c r="C60" s="124"/>
    </row>
    <row r="61" spans="1:3" x14ac:dyDescent="0.2">
      <c r="A61" s="53"/>
      <c r="B61" s="53"/>
      <c r="C61" s="124"/>
    </row>
    <row r="62" spans="1:3" x14ac:dyDescent="0.2">
      <c r="A62" s="53"/>
      <c r="B62" s="53"/>
      <c r="C62" s="124"/>
    </row>
    <row r="63" spans="1:3" x14ac:dyDescent="0.2">
      <c r="A63" s="53"/>
      <c r="B63" s="53"/>
      <c r="C63" s="124"/>
    </row>
    <row r="64" spans="1:3" x14ac:dyDescent="0.2">
      <c r="A64" s="53"/>
      <c r="B64" s="53"/>
      <c r="C64" s="124"/>
    </row>
    <row r="65" spans="1:3" x14ac:dyDescent="0.2">
      <c r="A65" s="53"/>
      <c r="B65" s="53"/>
      <c r="C65" s="124"/>
    </row>
    <row r="66" spans="1:3" x14ac:dyDescent="0.2">
      <c r="A66" s="53"/>
      <c r="B66" s="53"/>
      <c r="C66" s="124"/>
    </row>
    <row r="67" spans="1:3" x14ac:dyDescent="0.2">
      <c r="A67" s="53"/>
      <c r="B67" s="53"/>
      <c r="C67" s="124"/>
    </row>
    <row r="68" spans="1:3" x14ac:dyDescent="0.2">
      <c r="A68" s="53"/>
      <c r="B68" s="53"/>
      <c r="C68" s="124"/>
    </row>
    <row r="69" spans="1:3" x14ac:dyDescent="0.2">
      <c r="A69" s="53"/>
      <c r="B69" s="53"/>
      <c r="C69" s="124"/>
    </row>
    <row r="70" spans="1:3" x14ac:dyDescent="0.2">
      <c r="A70" s="53"/>
      <c r="B70" s="53"/>
      <c r="C70" s="124"/>
    </row>
    <row r="71" spans="1:3" x14ac:dyDescent="0.2">
      <c r="A71" s="53"/>
      <c r="B71" s="53"/>
      <c r="C71" s="124"/>
    </row>
    <row r="72" spans="1:3" x14ac:dyDescent="0.2">
      <c r="A72" s="53"/>
      <c r="B72" s="53"/>
      <c r="C72" s="124"/>
    </row>
    <row r="73" spans="1:3" x14ac:dyDescent="0.2">
      <c r="A73" s="53"/>
      <c r="B73" s="53"/>
      <c r="C73" s="124"/>
    </row>
    <row r="74" spans="1:3" x14ac:dyDescent="0.2">
      <c r="A74" s="53"/>
      <c r="B74" s="53"/>
      <c r="C74" s="124"/>
    </row>
    <row r="75" spans="1:3" x14ac:dyDescent="0.2">
      <c r="A75" s="53"/>
      <c r="B75" s="53"/>
      <c r="C75" s="124"/>
    </row>
    <row r="76" spans="1:3" x14ac:dyDescent="0.2">
      <c r="A76" s="53"/>
      <c r="B76" s="53"/>
      <c r="C76" s="124"/>
    </row>
    <row r="77" spans="1:3" x14ac:dyDescent="0.2">
      <c r="A77" s="53"/>
      <c r="B77" s="53"/>
      <c r="C77" s="124"/>
    </row>
    <row r="78" spans="1:3" x14ac:dyDescent="0.2">
      <c r="A78" s="53"/>
      <c r="B78" s="53"/>
      <c r="C78" s="124"/>
    </row>
    <row r="79" spans="1:3" x14ac:dyDescent="0.2">
      <c r="A79" s="53"/>
      <c r="B79" s="53"/>
      <c r="C79" s="124"/>
    </row>
    <row r="80" spans="1:3" x14ac:dyDescent="0.2">
      <c r="A80" s="53"/>
      <c r="B80" s="53"/>
      <c r="C80" s="124"/>
    </row>
    <row r="81" spans="1:3" x14ac:dyDescent="0.2">
      <c r="A81" s="53"/>
      <c r="B81" s="53"/>
      <c r="C81" s="124"/>
    </row>
    <row r="82" spans="1:3" x14ac:dyDescent="0.2">
      <c r="A82" s="53"/>
      <c r="B82" s="53"/>
      <c r="C82" s="124"/>
    </row>
    <row r="83" spans="1:3" x14ac:dyDescent="0.2">
      <c r="A83" s="53"/>
      <c r="B83" s="53"/>
      <c r="C83" s="124"/>
    </row>
    <row r="84" spans="1:3" x14ac:dyDescent="0.2">
      <c r="A84" s="53"/>
      <c r="B84" s="53"/>
      <c r="C84" s="124"/>
    </row>
    <row r="85" spans="1:3" x14ac:dyDescent="0.2">
      <c r="A85" s="53"/>
      <c r="B85" s="53"/>
      <c r="C85" s="124"/>
    </row>
    <row r="86" spans="1:3" x14ac:dyDescent="0.2">
      <c r="A86" s="53"/>
      <c r="B86" s="53"/>
      <c r="C86" s="124"/>
    </row>
    <row r="87" spans="1:3" x14ac:dyDescent="0.2">
      <c r="A87" s="53"/>
      <c r="B87" s="53"/>
      <c r="C87" s="124"/>
    </row>
    <row r="88" spans="1:3" x14ac:dyDescent="0.2">
      <c r="A88" s="53"/>
      <c r="B88" s="53"/>
      <c r="C88" s="124"/>
    </row>
    <row r="89" spans="1:3" x14ac:dyDescent="0.2">
      <c r="A89" s="53"/>
      <c r="B89" s="53"/>
      <c r="C89" s="124"/>
    </row>
    <row r="90" spans="1:3" x14ac:dyDescent="0.2">
      <c r="A90" s="53"/>
      <c r="B90" s="53"/>
      <c r="C90" s="124"/>
    </row>
    <row r="91" spans="1:3" x14ac:dyDescent="0.2">
      <c r="A91" s="53"/>
      <c r="B91" s="53"/>
      <c r="C91" s="124"/>
    </row>
    <row r="92" spans="1:3" x14ac:dyDescent="0.2">
      <c r="A92" s="53"/>
      <c r="B92" s="53"/>
      <c r="C92" s="124"/>
    </row>
    <row r="93" spans="1:3" x14ac:dyDescent="0.2">
      <c r="A93" s="53"/>
      <c r="B93" s="53"/>
      <c r="C93" s="124"/>
    </row>
    <row r="94" spans="1:3" x14ac:dyDescent="0.2">
      <c r="A94" s="53"/>
      <c r="B94" s="53"/>
      <c r="C94" s="124"/>
    </row>
    <row r="95" spans="1:3" x14ac:dyDescent="0.2">
      <c r="A95" s="53"/>
      <c r="B95" s="53"/>
      <c r="C95" s="124"/>
    </row>
    <row r="96" spans="1:3" x14ac:dyDescent="0.2">
      <c r="A96" s="53"/>
      <c r="B96" s="53"/>
      <c r="C96" s="124"/>
    </row>
    <row r="97" spans="1:3" x14ac:dyDescent="0.2">
      <c r="A97" s="53"/>
      <c r="B97" s="53"/>
      <c r="C97" s="124"/>
    </row>
    <row r="98" spans="1:3" x14ac:dyDescent="0.2">
      <c r="A98" s="53"/>
      <c r="B98" s="53"/>
      <c r="C98" s="124"/>
    </row>
    <row r="99" spans="1:3" x14ac:dyDescent="0.2">
      <c r="A99" s="53"/>
      <c r="B99" s="53"/>
      <c r="C99" s="124"/>
    </row>
    <row r="100" spans="1:3" x14ac:dyDescent="0.2">
      <c r="A100" s="53"/>
      <c r="B100" s="53"/>
      <c r="C100" s="124"/>
    </row>
    <row r="101" spans="1:3" x14ac:dyDescent="0.2">
      <c r="A101" s="53"/>
      <c r="B101" s="53"/>
      <c r="C101" s="124"/>
    </row>
    <row r="102" spans="1:3" x14ac:dyDescent="0.2">
      <c r="A102" s="53"/>
      <c r="B102" s="53"/>
      <c r="C102" s="124"/>
    </row>
    <row r="103" spans="1:3" x14ac:dyDescent="0.2">
      <c r="A103" s="53"/>
      <c r="B103" s="53"/>
      <c r="C103" s="124"/>
    </row>
    <row r="104" spans="1:3" x14ac:dyDescent="0.2">
      <c r="A104" s="53"/>
      <c r="B104" s="53"/>
      <c r="C104" s="124"/>
    </row>
    <row r="105" spans="1:3" x14ac:dyDescent="0.2">
      <c r="A105" s="53"/>
      <c r="B105" s="53"/>
      <c r="C105" s="124"/>
    </row>
    <row r="106" spans="1:3" x14ac:dyDescent="0.2">
      <c r="A106" s="53"/>
      <c r="B106" s="53"/>
      <c r="C106" s="124"/>
    </row>
    <row r="107" spans="1:3" x14ac:dyDescent="0.2">
      <c r="A107" s="53"/>
      <c r="B107" s="53"/>
      <c r="C107" s="124"/>
    </row>
    <row r="108" spans="1:3" x14ac:dyDescent="0.2">
      <c r="A108" s="53"/>
      <c r="B108" s="53"/>
      <c r="C108" s="124"/>
    </row>
    <row r="109" spans="1:3" x14ac:dyDescent="0.2">
      <c r="A109" s="53"/>
      <c r="B109" s="53"/>
      <c r="C109" s="124"/>
    </row>
    <row r="110" spans="1:3" x14ac:dyDescent="0.2">
      <c r="A110" s="53"/>
      <c r="B110" s="53"/>
      <c r="C110" s="124"/>
    </row>
    <row r="111" spans="1:3" x14ac:dyDescent="0.2">
      <c r="A111" s="53"/>
      <c r="B111" s="53"/>
      <c r="C111" s="124"/>
    </row>
    <row r="112" spans="1:3" x14ac:dyDescent="0.2">
      <c r="A112" s="53"/>
      <c r="B112" s="53"/>
      <c r="C112" s="124"/>
    </row>
    <row r="113" spans="1:3" x14ac:dyDescent="0.2">
      <c r="A113" s="53"/>
      <c r="B113" s="53"/>
      <c r="C113" s="124"/>
    </row>
    <row r="114" spans="1:3" x14ac:dyDescent="0.2">
      <c r="A114" s="53"/>
      <c r="B114" s="53"/>
      <c r="C114" s="124"/>
    </row>
    <row r="115" spans="1:3" x14ac:dyDescent="0.2">
      <c r="A115" s="53"/>
      <c r="B115" s="53"/>
      <c r="C115" s="124"/>
    </row>
    <row r="116" spans="1:3" x14ac:dyDescent="0.2">
      <c r="A116" s="53"/>
      <c r="B116" s="53"/>
      <c r="C116" s="124"/>
    </row>
    <row r="117" spans="1:3" x14ac:dyDescent="0.2">
      <c r="A117" s="53"/>
      <c r="B117" s="53"/>
      <c r="C117" s="124"/>
    </row>
    <row r="118" spans="1:3" x14ac:dyDescent="0.2">
      <c r="A118" s="53"/>
      <c r="B118" s="53"/>
      <c r="C118" s="124"/>
    </row>
    <row r="119" spans="1:3" x14ac:dyDescent="0.2">
      <c r="A119" s="53"/>
      <c r="B119" s="53"/>
      <c r="C119" s="124"/>
    </row>
    <row r="120" spans="1:3" x14ac:dyDescent="0.2">
      <c r="A120" s="53"/>
      <c r="B120" s="53"/>
      <c r="C120" s="124"/>
    </row>
    <row r="121" spans="1:3" x14ac:dyDescent="0.2">
      <c r="A121" s="53"/>
      <c r="B121" s="53"/>
      <c r="C121" s="124"/>
    </row>
    <row r="122" spans="1:3" x14ac:dyDescent="0.2">
      <c r="A122" s="53"/>
      <c r="B122" s="53"/>
      <c r="C122" s="124"/>
    </row>
    <row r="123" spans="1:3" x14ac:dyDescent="0.2">
      <c r="A123" s="53"/>
      <c r="B123" s="53"/>
      <c r="C123" s="124"/>
    </row>
    <row r="124" spans="1:3" x14ac:dyDescent="0.2">
      <c r="A124" s="53"/>
      <c r="B124" s="53"/>
      <c r="C124" s="124"/>
    </row>
    <row r="125" spans="1:3" x14ac:dyDescent="0.2">
      <c r="A125" s="53"/>
      <c r="B125" s="53"/>
      <c r="C125" s="124"/>
    </row>
    <row r="126" spans="1:3" x14ac:dyDescent="0.2">
      <c r="A126" s="53"/>
      <c r="B126" s="53"/>
      <c r="C126" s="124"/>
    </row>
    <row r="127" spans="1:3" x14ac:dyDescent="0.2">
      <c r="A127" s="53"/>
      <c r="B127" s="53"/>
      <c r="C127" s="124"/>
    </row>
    <row r="128" spans="1:3" x14ac:dyDescent="0.2">
      <c r="A128" s="53"/>
      <c r="B128" s="53"/>
      <c r="C128" s="124"/>
    </row>
    <row r="129" spans="1:3" x14ac:dyDescent="0.2">
      <c r="A129" s="53"/>
      <c r="B129" s="53"/>
      <c r="C129" s="124"/>
    </row>
    <row r="130" spans="1:3" x14ac:dyDescent="0.2">
      <c r="A130" s="53"/>
      <c r="B130" s="53"/>
      <c r="C130" s="124"/>
    </row>
    <row r="131" spans="1:3" x14ac:dyDescent="0.2">
      <c r="A131" s="53"/>
      <c r="B131" s="53"/>
      <c r="C131" s="124"/>
    </row>
    <row r="132" spans="1:3" x14ac:dyDescent="0.2">
      <c r="A132" s="53"/>
      <c r="B132" s="53"/>
      <c r="C132" s="124"/>
    </row>
    <row r="133" spans="1:3" x14ac:dyDescent="0.2">
      <c r="A133" s="53"/>
      <c r="B133" s="53"/>
      <c r="C133" s="124"/>
    </row>
    <row r="134" spans="1:3" x14ac:dyDescent="0.2">
      <c r="A134" s="53"/>
      <c r="B134" s="53"/>
      <c r="C134" s="124"/>
    </row>
    <row r="135" spans="1:3" x14ac:dyDescent="0.2">
      <c r="A135" s="53"/>
      <c r="B135" s="53"/>
      <c r="C135" s="124"/>
    </row>
    <row r="136" spans="1:3" x14ac:dyDescent="0.2">
      <c r="A136" s="53"/>
      <c r="B136" s="53"/>
      <c r="C136" s="124"/>
    </row>
    <row r="137" spans="1:3" x14ac:dyDescent="0.2">
      <c r="A137" s="53"/>
      <c r="B137" s="53"/>
      <c r="C137" s="124"/>
    </row>
  </sheetData>
  <mergeCells count="1">
    <mergeCell ref="B5:D5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 sizeWithCells="1">
              <from>
                <xdr:col>5</xdr:col>
                <xdr:colOff>66675</xdr:colOff>
                <xdr:row>4</xdr:row>
                <xdr:rowOff>66675</xdr:rowOff>
              </from>
              <to>
                <xdr:col>10</xdr:col>
                <xdr:colOff>123825</xdr:colOff>
                <xdr:row>7</xdr:row>
                <xdr:rowOff>123825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4"/>
  <sheetViews>
    <sheetView topLeftCell="A4" zoomScale="150" zoomScaleNormal="150" workbookViewId="0">
      <selection activeCell="E8" sqref="E8"/>
    </sheetView>
  </sheetViews>
  <sheetFormatPr defaultRowHeight="15" x14ac:dyDescent="0.2"/>
  <cols>
    <col min="2" max="3" width="8.88671875" style="121"/>
    <col min="4" max="4" width="6.21875" style="121" customWidth="1"/>
    <col min="5" max="5" width="12.5546875" customWidth="1"/>
  </cols>
  <sheetData>
    <row r="1" spans="1:9" ht="15.75" x14ac:dyDescent="0.25">
      <c r="A1" s="131" t="s">
        <v>228</v>
      </c>
      <c r="B1" s="124"/>
      <c r="C1" s="124"/>
      <c r="D1" s="124"/>
      <c r="E1" s="124"/>
      <c r="F1" s="124"/>
      <c r="G1" s="133"/>
    </row>
    <row r="2" spans="1:9" ht="15.75" x14ac:dyDescent="0.25">
      <c r="A2" s="131" t="s">
        <v>227</v>
      </c>
      <c r="B2" s="124"/>
      <c r="C2" s="124"/>
      <c r="D2" s="124"/>
      <c r="E2" s="124"/>
      <c r="F2" s="124"/>
      <c r="G2" s="133"/>
    </row>
    <row r="3" spans="1:9" x14ac:dyDescent="0.2">
      <c r="A3" s="124" t="s">
        <v>112</v>
      </c>
      <c r="B3" s="124"/>
      <c r="C3" s="124"/>
      <c r="D3" s="124"/>
      <c r="E3" s="124"/>
      <c r="F3" s="124"/>
      <c r="G3" s="133"/>
    </row>
    <row r="4" spans="1:9" ht="15.75" thickBot="1" x14ac:dyDescent="0.25">
      <c r="B4" s="132"/>
      <c r="C4" s="132"/>
      <c r="D4" s="132"/>
    </row>
    <row r="5" spans="1:9" ht="15.75" thickBot="1" x14ac:dyDescent="0.25">
      <c r="B5" s="326" t="s">
        <v>219</v>
      </c>
      <c r="C5" s="326"/>
      <c r="D5" s="326"/>
      <c r="G5" s="122" t="s">
        <v>236</v>
      </c>
      <c r="H5" s="54">
        <v>0.5</v>
      </c>
    </row>
    <row r="6" spans="1:9" ht="15.75" thickBot="1" x14ac:dyDescent="0.25">
      <c r="B6" s="126" t="s">
        <v>208</v>
      </c>
      <c r="C6" s="127">
        <f>AVERAGE(C16:C137)</f>
        <v>2.2857142857142856</v>
      </c>
      <c r="D6" s="63" t="s">
        <v>217</v>
      </c>
    </row>
    <row r="7" spans="1:9" ht="19.5" x14ac:dyDescent="0.35">
      <c r="B7" s="128" t="s">
        <v>209</v>
      </c>
      <c r="C7" s="125">
        <f>_xlfn.STDEV.S(C16:C137)</f>
        <v>1.0605479266689961</v>
      </c>
      <c r="D7" s="129" t="s">
        <v>220</v>
      </c>
      <c r="F7" s="25"/>
      <c r="G7" s="327" t="s">
        <v>198</v>
      </c>
      <c r="H7" s="327"/>
      <c r="I7" s="27"/>
    </row>
    <row r="8" spans="1:9" x14ac:dyDescent="0.2">
      <c r="B8" s="128" t="s">
        <v>137</v>
      </c>
      <c r="C8" s="62">
        <f>COUNT(C16:C137)</f>
        <v>7</v>
      </c>
      <c r="D8" s="129" t="s">
        <v>77</v>
      </c>
      <c r="F8" s="28"/>
      <c r="G8" s="62"/>
      <c r="H8" s="62"/>
      <c r="I8" s="30"/>
    </row>
    <row r="9" spans="1:9" ht="15.75" thickBot="1" x14ac:dyDescent="0.25">
      <c r="B9" s="40" t="s">
        <v>214</v>
      </c>
      <c r="C9" s="130">
        <f>C8-1</f>
        <v>6</v>
      </c>
      <c r="D9" s="39" t="s">
        <v>78</v>
      </c>
      <c r="F9" s="28"/>
      <c r="H9" s="29"/>
      <c r="I9" s="30"/>
    </row>
    <row r="10" spans="1:9" x14ac:dyDescent="0.2">
      <c r="B10" s="157"/>
      <c r="C10" s="157"/>
      <c r="D10" s="157"/>
      <c r="F10" s="28"/>
      <c r="G10" s="62"/>
      <c r="H10" s="62"/>
      <c r="I10" s="30"/>
    </row>
    <row r="11" spans="1:9" x14ac:dyDescent="0.2">
      <c r="A11" s="53" t="s">
        <v>234</v>
      </c>
      <c r="B11" s="53"/>
      <c r="C11" s="53"/>
      <c r="D11" s="53"/>
      <c r="F11" s="28"/>
      <c r="G11" s="62"/>
      <c r="H11" s="62"/>
      <c r="I11" s="30"/>
    </row>
    <row r="12" spans="1:9" x14ac:dyDescent="0.2">
      <c r="A12" s="53" t="s">
        <v>235</v>
      </c>
      <c r="B12" s="53"/>
      <c r="C12" s="53"/>
      <c r="D12" s="53"/>
      <c r="F12" s="28"/>
      <c r="G12" s="62"/>
      <c r="H12" s="62"/>
      <c r="I12" s="30"/>
    </row>
    <row r="13" spans="1:9" x14ac:dyDescent="0.2">
      <c r="A13" t="s">
        <v>221</v>
      </c>
      <c r="B13"/>
      <c r="C13"/>
      <c r="D13"/>
      <c r="F13" s="28"/>
      <c r="G13" s="62"/>
      <c r="H13" s="62"/>
      <c r="I13" s="30"/>
    </row>
    <row r="14" spans="1:9" x14ac:dyDescent="0.2">
      <c r="A14" s="157" t="s">
        <v>205</v>
      </c>
      <c r="B14" s="157" t="s">
        <v>206</v>
      </c>
      <c r="C14" s="157" t="s">
        <v>207</v>
      </c>
      <c r="D14"/>
      <c r="F14" s="28"/>
      <c r="G14" s="62"/>
      <c r="H14" s="62"/>
      <c r="I14" s="30"/>
    </row>
    <row r="15" spans="1:9" x14ac:dyDescent="0.2">
      <c r="A15" s="157"/>
      <c r="B15" s="157"/>
      <c r="C15" s="157" t="s">
        <v>222</v>
      </c>
      <c r="D15"/>
      <c r="F15" s="28"/>
      <c r="G15" s="62"/>
      <c r="H15" s="62"/>
      <c r="I15" s="30"/>
    </row>
    <row r="16" spans="1:9" x14ac:dyDescent="0.2">
      <c r="A16" s="140">
        <v>4.4000000000000004</v>
      </c>
      <c r="B16" s="140">
        <v>3.4</v>
      </c>
      <c r="C16" s="135">
        <f>A16-B16</f>
        <v>1.0000000000000004</v>
      </c>
      <c r="F16" s="28"/>
      <c r="G16" s="29"/>
      <c r="H16" s="29"/>
      <c r="I16" s="30"/>
    </row>
    <row r="17" spans="1:10" ht="15.75" thickBot="1" x14ac:dyDescent="0.25">
      <c r="A17" s="140">
        <v>7</v>
      </c>
      <c r="B17" s="140">
        <v>4.7</v>
      </c>
      <c r="C17" s="135">
        <f t="shared" ref="C17:C22" si="0">A17-B17</f>
        <v>2.2999999999999998</v>
      </c>
      <c r="F17" s="31"/>
      <c r="G17" s="24"/>
      <c r="H17" s="24"/>
      <c r="I17" s="32"/>
    </row>
    <row r="18" spans="1:10" ht="15.75" thickBot="1" x14ac:dyDescent="0.25">
      <c r="A18" s="140">
        <v>5.9</v>
      </c>
      <c r="B18" s="140">
        <v>3.4</v>
      </c>
      <c r="C18" s="135">
        <f t="shared" si="0"/>
        <v>2.5000000000000004</v>
      </c>
      <c r="F18" s="121"/>
      <c r="G18" s="121"/>
      <c r="H18" s="121"/>
    </row>
    <row r="19" spans="1:10" x14ac:dyDescent="0.2">
      <c r="A19" s="140">
        <v>4.3</v>
      </c>
      <c r="B19" s="140">
        <v>3.1</v>
      </c>
      <c r="C19" s="135">
        <f t="shared" si="0"/>
        <v>1.1999999999999997</v>
      </c>
      <c r="F19" s="126"/>
      <c r="G19" s="127"/>
      <c r="H19" s="127"/>
      <c r="I19" s="26"/>
      <c r="J19" s="27"/>
    </row>
    <row r="20" spans="1:10" ht="15.75" x14ac:dyDescent="0.25">
      <c r="A20" s="140">
        <v>6.8</v>
      </c>
      <c r="B20" s="140">
        <v>2.9</v>
      </c>
      <c r="C20" s="135">
        <f t="shared" si="0"/>
        <v>3.9</v>
      </c>
      <c r="F20" s="128"/>
      <c r="G20" s="135">
        <f>(C6-H5)/(C7/SQRT(C8))</f>
        <v>4.4548254669210294</v>
      </c>
      <c r="H20" s="103" t="s">
        <v>191</v>
      </c>
      <c r="J20" s="30"/>
    </row>
    <row r="21" spans="1:10" x14ac:dyDescent="0.2">
      <c r="A21" s="140">
        <v>8.9</v>
      </c>
      <c r="B21" s="140">
        <v>5.6</v>
      </c>
      <c r="C21" s="135">
        <f t="shared" si="0"/>
        <v>3.3000000000000007</v>
      </c>
      <c r="F21" s="128"/>
      <c r="G21" s="62"/>
      <c r="H21" s="62"/>
      <c r="I21" s="29"/>
      <c r="J21" s="30"/>
    </row>
    <row r="22" spans="1:10" ht="15.75" x14ac:dyDescent="0.25">
      <c r="A22" s="163">
        <v>8.8000000000000007</v>
      </c>
      <c r="B22" s="55">
        <v>7</v>
      </c>
      <c r="C22" s="152">
        <f t="shared" si="0"/>
        <v>1.8000000000000007</v>
      </c>
      <c r="F22" s="128"/>
      <c r="G22" s="140">
        <v>0.05</v>
      </c>
      <c r="H22" s="141" t="s">
        <v>80</v>
      </c>
      <c r="I22" s="29"/>
      <c r="J22" s="30"/>
    </row>
    <row r="23" spans="1:10" ht="15.75" x14ac:dyDescent="0.25">
      <c r="A23" s="53"/>
      <c r="B23" s="55"/>
      <c r="C23" s="152"/>
      <c r="F23" s="128"/>
      <c r="G23" s="62"/>
      <c r="H23" s="138"/>
      <c r="I23" s="29"/>
      <c r="J23" s="30"/>
    </row>
    <row r="24" spans="1:10" ht="15.75" customHeight="1" thickBot="1" x14ac:dyDescent="0.3">
      <c r="A24" s="53"/>
      <c r="B24" s="55"/>
      <c r="C24" s="152"/>
      <c r="F24" s="128"/>
      <c r="G24" s="328" t="s">
        <v>237</v>
      </c>
      <c r="H24" s="328"/>
      <c r="I24" s="328"/>
      <c r="J24" s="30"/>
    </row>
    <row r="25" spans="1:10" ht="15.75" x14ac:dyDescent="0.25">
      <c r="A25" s="53"/>
      <c r="B25" s="55"/>
      <c r="C25" s="152"/>
      <c r="F25" s="128"/>
      <c r="G25" s="15" t="s">
        <v>194</v>
      </c>
      <c r="H25" s="15" t="s">
        <v>195</v>
      </c>
      <c r="I25" s="15" t="s">
        <v>196</v>
      </c>
      <c r="J25" s="30"/>
    </row>
    <row r="26" spans="1:10" x14ac:dyDescent="0.2">
      <c r="A26" s="53"/>
      <c r="B26" s="55"/>
      <c r="C26" s="152"/>
      <c r="F26" s="128"/>
      <c r="G26" s="179">
        <f>_xlfn.T.INV(G22,C9)</f>
        <v>-1.9431802805153031</v>
      </c>
      <c r="H26" s="179">
        <f>_xlfn.T.INV(1-G22/2,C9)</f>
        <v>2.4469118511449688</v>
      </c>
      <c r="I26" s="179">
        <f>_xlfn.T.INV(1-G22,C9)</f>
        <v>1.9431802805153022</v>
      </c>
      <c r="J26" s="30"/>
    </row>
    <row r="27" spans="1:10" ht="15.75" thickBot="1" x14ac:dyDescent="0.25">
      <c r="A27" s="53"/>
      <c r="B27" s="55"/>
      <c r="C27" s="152"/>
      <c r="F27" s="40"/>
      <c r="G27" s="130"/>
      <c r="H27" s="180" t="s">
        <v>238</v>
      </c>
      <c r="I27" s="24"/>
      <c r="J27" s="32"/>
    </row>
    <row r="28" spans="1:10" x14ac:dyDescent="0.2">
      <c r="A28" s="53"/>
      <c r="B28" s="55"/>
      <c r="C28" s="152"/>
    </row>
    <row r="29" spans="1:10" x14ac:dyDescent="0.2">
      <c r="A29" s="53"/>
      <c r="B29" s="55"/>
      <c r="C29" s="152"/>
    </row>
    <row r="30" spans="1:10" ht="15.75" x14ac:dyDescent="0.25">
      <c r="A30" s="53"/>
      <c r="B30" s="55"/>
      <c r="C30" s="152"/>
      <c r="G30" s="135">
        <f>_xlfn.T.INV(G22,C9)</f>
        <v>-1.9431802805153031</v>
      </c>
      <c r="H30" s="141" t="s">
        <v>218</v>
      </c>
      <c r="I30" s="29"/>
    </row>
    <row r="31" spans="1:10" x14ac:dyDescent="0.2">
      <c r="A31" s="53"/>
      <c r="B31" s="55"/>
      <c r="C31" s="152"/>
    </row>
    <row r="32" spans="1:10" x14ac:dyDescent="0.2">
      <c r="A32" s="53"/>
      <c r="B32" s="55"/>
      <c r="C32" s="152"/>
    </row>
    <row r="33" spans="1:3" x14ac:dyDescent="0.2">
      <c r="A33" s="53"/>
      <c r="B33" s="55"/>
      <c r="C33" s="152"/>
    </row>
    <row r="34" spans="1:3" x14ac:dyDescent="0.2">
      <c r="A34" s="53"/>
      <c r="B34" s="55"/>
      <c r="C34" s="152"/>
    </row>
    <row r="35" spans="1:3" x14ac:dyDescent="0.2">
      <c r="A35" s="53"/>
      <c r="B35" s="55"/>
      <c r="C35" s="152"/>
    </row>
    <row r="36" spans="1:3" x14ac:dyDescent="0.2">
      <c r="A36" s="53"/>
      <c r="B36" s="55"/>
      <c r="C36" s="152"/>
    </row>
    <row r="37" spans="1:3" x14ac:dyDescent="0.2">
      <c r="A37" s="53"/>
      <c r="B37" s="55"/>
      <c r="C37" s="152"/>
    </row>
    <row r="38" spans="1:3" x14ac:dyDescent="0.2">
      <c r="A38" s="53"/>
      <c r="B38" s="55"/>
      <c r="C38" s="152"/>
    </row>
    <row r="39" spans="1:3" x14ac:dyDescent="0.2">
      <c r="A39" s="53"/>
      <c r="B39" s="55"/>
      <c r="C39" s="152"/>
    </row>
    <row r="40" spans="1:3" x14ac:dyDescent="0.2">
      <c r="A40" s="53"/>
      <c r="B40" s="55"/>
      <c r="C40" s="152"/>
    </row>
    <row r="41" spans="1:3" x14ac:dyDescent="0.2">
      <c r="A41" s="53"/>
      <c r="B41" s="55"/>
      <c r="C41" s="152"/>
    </row>
    <row r="42" spans="1:3" x14ac:dyDescent="0.2">
      <c r="A42" s="53"/>
      <c r="B42" s="55"/>
      <c r="C42" s="152"/>
    </row>
    <row r="43" spans="1:3" x14ac:dyDescent="0.2">
      <c r="A43" s="53"/>
      <c r="B43" s="55"/>
      <c r="C43" s="152"/>
    </row>
    <row r="44" spans="1:3" x14ac:dyDescent="0.2">
      <c r="A44" s="53"/>
      <c r="B44" s="55"/>
      <c r="C44" s="152"/>
    </row>
    <row r="45" spans="1:3" x14ac:dyDescent="0.2">
      <c r="A45" s="53"/>
      <c r="B45" s="55"/>
      <c r="C45" s="152"/>
    </row>
    <row r="46" spans="1:3" x14ac:dyDescent="0.2">
      <c r="A46" s="53"/>
      <c r="B46" s="55"/>
      <c r="C46" s="152"/>
    </row>
    <row r="47" spans="1:3" x14ac:dyDescent="0.2">
      <c r="A47" s="53"/>
      <c r="B47" s="55"/>
      <c r="C47" s="152"/>
    </row>
    <row r="48" spans="1:3" x14ac:dyDescent="0.2">
      <c r="A48" s="53"/>
      <c r="B48" s="55"/>
      <c r="C48" s="152"/>
    </row>
    <row r="49" spans="1:3" x14ac:dyDescent="0.2">
      <c r="A49" s="53"/>
      <c r="B49" s="55"/>
      <c r="C49" s="152"/>
    </row>
    <row r="50" spans="1:3" x14ac:dyDescent="0.2">
      <c r="A50" s="53"/>
      <c r="B50" s="55"/>
      <c r="C50" s="152"/>
    </row>
    <row r="51" spans="1:3" x14ac:dyDescent="0.2">
      <c r="A51" s="53"/>
      <c r="B51" s="55"/>
      <c r="C51" s="152"/>
    </row>
    <row r="52" spans="1:3" x14ac:dyDescent="0.2">
      <c r="A52" s="53"/>
      <c r="B52" s="55"/>
      <c r="C52" s="152"/>
    </row>
    <row r="53" spans="1:3" x14ac:dyDescent="0.2">
      <c r="A53" s="53"/>
      <c r="B53" s="55"/>
      <c r="C53" s="152"/>
    </row>
    <row r="54" spans="1:3" x14ac:dyDescent="0.2">
      <c r="A54" s="53"/>
      <c r="B54" s="55"/>
      <c r="C54" s="152"/>
    </row>
    <row r="55" spans="1:3" x14ac:dyDescent="0.2">
      <c r="A55" s="53"/>
      <c r="B55" s="55"/>
      <c r="C55" s="152"/>
    </row>
    <row r="56" spans="1:3" x14ac:dyDescent="0.2">
      <c r="A56" s="53"/>
      <c r="B56" s="55"/>
      <c r="C56" s="152"/>
    </row>
    <row r="57" spans="1:3" x14ac:dyDescent="0.2">
      <c r="A57" s="53"/>
      <c r="B57" s="55"/>
      <c r="C57" s="152"/>
    </row>
    <row r="58" spans="1:3" x14ac:dyDescent="0.2">
      <c r="A58" s="53"/>
      <c r="B58" s="55"/>
      <c r="C58" s="152"/>
    </row>
    <row r="59" spans="1:3" x14ac:dyDescent="0.2">
      <c r="A59" s="53"/>
      <c r="B59" s="55"/>
      <c r="C59" s="152"/>
    </row>
    <row r="60" spans="1:3" x14ac:dyDescent="0.2">
      <c r="A60" s="53"/>
      <c r="B60" s="55"/>
      <c r="C60" s="152"/>
    </row>
    <row r="61" spans="1:3" x14ac:dyDescent="0.2">
      <c r="A61" s="53"/>
      <c r="B61" s="55"/>
      <c r="C61" s="152"/>
    </row>
    <row r="62" spans="1:3" x14ac:dyDescent="0.2">
      <c r="A62" s="53"/>
      <c r="B62" s="55"/>
      <c r="C62" s="152"/>
    </row>
    <row r="63" spans="1:3" x14ac:dyDescent="0.2">
      <c r="A63" s="53"/>
      <c r="B63" s="55"/>
      <c r="C63" s="152"/>
    </row>
    <row r="64" spans="1:3" x14ac:dyDescent="0.2">
      <c r="A64" s="53"/>
      <c r="B64" s="55"/>
      <c r="C64" s="152"/>
    </row>
    <row r="65" spans="1:3" x14ac:dyDescent="0.2">
      <c r="A65" s="53"/>
      <c r="B65" s="55"/>
      <c r="C65" s="152"/>
    </row>
    <row r="66" spans="1:3" x14ac:dyDescent="0.2">
      <c r="A66" s="53"/>
      <c r="B66" s="55"/>
      <c r="C66" s="152"/>
    </row>
    <row r="67" spans="1:3" x14ac:dyDescent="0.2">
      <c r="A67" s="53"/>
      <c r="B67" s="55"/>
      <c r="C67" s="152"/>
    </row>
    <row r="68" spans="1:3" x14ac:dyDescent="0.2">
      <c r="A68" s="53"/>
      <c r="B68" s="55"/>
      <c r="C68" s="152"/>
    </row>
    <row r="69" spans="1:3" x14ac:dyDescent="0.2">
      <c r="A69" s="53"/>
      <c r="B69" s="55"/>
      <c r="C69" s="152"/>
    </row>
    <row r="70" spans="1:3" x14ac:dyDescent="0.2">
      <c r="A70" s="53"/>
      <c r="B70" s="55"/>
      <c r="C70" s="152"/>
    </row>
    <row r="71" spans="1:3" x14ac:dyDescent="0.2">
      <c r="A71" s="53"/>
      <c r="B71" s="55"/>
      <c r="C71" s="152"/>
    </row>
    <row r="72" spans="1:3" x14ac:dyDescent="0.2">
      <c r="A72" s="53"/>
      <c r="B72" s="55"/>
      <c r="C72" s="152"/>
    </row>
    <row r="73" spans="1:3" x14ac:dyDescent="0.2">
      <c r="A73" s="53"/>
      <c r="B73" s="55"/>
      <c r="C73" s="152"/>
    </row>
    <row r="74" spans="1:3" x14ac:dyDescent="0.2">
      <c r="A74" s="53"/>
      <c r="B74" s="55"/>
      <c r="C74" s="152"/>
    </row>
    <row r="75" spans="1:3" x14ac:dyDescent="0.2">
      <c r="A75" s="53"/>
      <c r="B75" s="55"/>
      <c r="C75" s="152"/>
    </row>
    <row r="76" spans="1:3" x14ac:dyDescent="0.2">
      <c r="A76" s="53"/>
      <c r="B76" s="55"/>
      <c r="C76" s="152"/>
    </row>
    <row r="77" spans="1:3" x14ac:dyDescent="0.2">
      <c r="A77" s="53"/>
      <c r="B77" s="55"/>
      <c r="C77" s="152"/>
    </row>
    <row r="78" spans="1:3" x14ac:dyDescent="0.2">
      <c r="A78" s="53"/>
      <c r="B78" s="55"/>
      <c r="C78" s="152"/>
    </row>
    <row r="79" spans="1:3" x14ac:dyDescent="0.2">
      <c r="A79" s="53"/>
      <c r="B79" s="55"/>
      <c r="C79" s="152"/>
    </row>
    <row r="80" spans="1:3" x14ac:dyDescent="0.2">
      <c r="A80" s="53"/>
      <c r="B80" s="55"/>
      <c r="C80" s="152"/>
    </row>
    <row r="81" spans="1:3" x14ac:dyDescent="0.2">
      <c r="A81" s="53"/>
      <c r="B81" s="55"/>
      <c r="C81" s="152"/>
    </row>
    <row r="82" spans="1:3" x14ac:dyDescent="0.2">
      <c r="A82" s="53"/>
      <c r="B82" s="55"/>
      <c r="C82" s="152"/>
    </row>
    <row r="83" spans="1:3" x14ac:dyDescent="0.2">
      <c r="A83" s="53"/>
      <c r="B83" s="55"/>
      <c r="C83" s="152"/>
    </row>
    <row r="84" spans="1:3" x14ac:dyDescent="0.2">
      <c r="A84" s="53"/>
      <c r="B84" s="55"/>
      <c r="C84" s="152"/>
    </row>
    <row r="85" spans="1:3" x14ac:dyDescent="0.2">
      <c r="A85" s="53"/>
      <c r="B85" s="55"/>
      <c r="C85" s="152"/>
    </row>
    <row r="86" spans="1:3" x14ac:dyDescent="0.2">
      <c r="A86" s="53"/>
      <c r="B86" s="55"/>
      <c r="C86" s="152"/>
    </row>
    <row r="87" spans="1:3" x14ac:dyDescent="0.2">
      <c r="A87" s="53"/>
      <c r="B87" s="55"/>
      <c r="C87" s="152"/>
    </row>
    <row r="88" spans="1:3" x14ac:dyDescent="0.2">
      <c r="A88" s="53"/>
      <c r="B88" s="55"/>
      <c r="C88" s="152"/>
    </row>
    <row r="89" spans="1:3" x14ac:dyDescent="0.2">
      <c r="A89" s="53"/>
      <c r="B89" s="55"/>
      <c r="C89" s="152"/>
    </row>
    <row r="90" spans="1:3" x14ac:dyDescent="0.2">
      <c r="A90" s="53"/>
      <c r="B90" s="55"/>
      <c r="C90" s="152"/>
    </row>
    <row r="91" spans="1:3" x14ac:dyDescent="0.2">
      <c r="A91" s="53"/>
      <c r="B91" s="55"/>
      <c r="C91" s="152"/>
    </row>
    <row r="92" spans="1:3" x14ac:dyDescent="0.2">
      <c r="A92" s="53"/>
      <c r="B92" s="55"/>
      <c r="C92" s="152"/>
    </row>
    <row r="93" spans="1:3" x14ac:dyDescent="0.2">
      <c r="A93" s="53"/>
      <c r="B93" s="55"/>
      <c r="C93" s="152"/>
    </row>
    <row r="94" spans="1:3" x14ac:dyDescent="0.2">
      <c r="A94" s="53"/>
      <c r="B94" s="55"/>
      <c r="C94" s="152"/>
    </row>
    <row r="95" spans="1:3" x14ac:dyDescent="0.2">
      <c r="A95" s="53"/>
      <c r="B95" s="55"/>
      <c r="C95" s="152"/>
    </row>
    <row r="96" spans="1:3" x14ac:dyDescent="0.2">
      <c r="A96" s="53"/>
      <c r="B96" s="55"/>
      <c r="C96" s="152"/>
    </row>
    <row r="97" spans="1:3" x14ac:dyDescent="0.2">
      <c r="A97" s="53"/>
      <c r="B97" s="55"/>
      <c r="C97" s="152"/>
    </row>
    <row r="98" spans="1:3" x14ac:dyDescent="0.2">
      <c r="A98" s="53"/>
      <c r="B98" s="55"/>
      <c r="C98" s="152"/>
    </row>
    <row r="99" spans="1:3" x14ac:dyDescent="0.2">
      <c r="A99" s="53"/>
      <c r="B99" s="55"/>
      <c r="C99" s="152"/>
    </row>
    <row r="100" spans="1:3" x14ac:dyDescent="0.2">
      <c r="A100" s="53"/>
      <c r="B100" s="55"/>
      <c r="C100" s="152"/>
    </row>
    <row r="101" spans="1:3" x14ac:dyDescent="0.2">
      <c r="A101" s="53"/>
      <c r="B101" s="55"/>
      <c r="C101" s="152"/>
    </row>
    <row r="102" spans="1:3" x14ac:dyDescent="0.2">
      <c r="A102" s="53"/>
      <c r="B102" s="55"/>
      <c r="C102" s="152"/>
    </row>
    <row r="103" spans="1:3" x14ac:dyDescent="0.2">
      <c r="A103" s="53"/>
      <c r="B103" s="55"/>
      <c r="C103" s="152"/>
    </row>
    <row r="104" spans="1:3" x14ac:dyDescent="0.2">
      <c r="A104" s="53"/>
      <c r="B104" s="55"/>
      <c r="C104" s="152"/>
    </row>
    <row r="105" spans="1:3" x14ac:dyDescent="0.2">
      <c r="A105" s="53"/>
      <c r="B105" s="55"/>
      <c r="C105" s="152"/>
    </row>
    <row r="106" spans="1:3" x14ac:dyDescent="0.2">
      <c r="A106" s="53"/>
      <c r="B106" s="55"/>
      <c r="C106" s="152"/>
    </row>
    <row r="107" spans="1:3" x14ac:dyDescent="0.2">
      <c r="A107" s="53"/>
      <c r="B107" s="55"/>
      <c r="C107" s="152"/>
    </row>
    <row r="108" spans="1:3" x14ac:dyDescent="0.2">
      <c r="A108" s="53"/>
      <c r="B108" s="55"/>
      <c r="C108" s="152"/>
    </row>
    <row r="109" spans="1:3" x14ac:dyDescent="0.2">
      <c r="A109" s="53"/>
      <c r="B109" s="55"/>
      <c r="C109" s="152"/>
    </row>
    <row r="110" spans="1:3" x14ac:dyDescent="0.2">
      <c r="A110" s="53"/>
      <c r="B110" s="55"/>
      <c r="C110" s="152"/>
    </row>
    <row r="111" spans="1:3" x14ac:dyDescent="0.2">
      <c r="A111" s="53"/>
      <c r="B111" s="55"/>
      <c r="C111" s="152"/>
    </row>
    <row r="112" spans="1:3" x14ac:dyDescent="0.2">
      <c r="A112" s="53"/>
      <c r="B112" s="55"/>
      <c r="C112" s="152"/>
    </row>
    <row r="113" spans="1:3" x14ac:dyDescent="0.2">
      <c r="A113" s="53"/>
      <c r="B113" s="55"/>
      <c r="C113" s="152"/>
    </row>
    <row r="114" spans="1:3" x14ac:dyDescent="0.2">
      <c r="A114" s="53"/>
      <c r="B114" s="55"/>
      <c r="C114" s="152"/>
    </row>
    <row r="115" spans="1:3" x14ac:dyDescent="0.2">
      <c r="A115" s="53"/>
      <c r="B115" s="55"/>
      <c r="C115" s="152"/>
    </row>
    <row r="116" spans="1:3" x14ac:dyDescent="0.2">
      <c r="A116" s="53"/>
      <c r="B116" s="55"/>
      <c r="C116" s="152"/>
    </row>
    <row r="117" spans="1:3" x14ac:dyDescent="0.2">
      <c r="A117" s="53"/>
      <c r="B117" s="55"/>
      <c r="C117" s="152"/>
    </row>
    <row r="118" spans="1:3" x14ac:dyDescent="0.2">
      <c r="A118" s="53"/>
      <c r="B118" s="55"/>
      <c r="C118" s="152"/>
    </row>
    <row r="119" spans="1:3" x14ac:dyDescent="0.2">
      <c r="A119" s="53"/>
      <c r="B119" s="55"/>
      <c r="C119" s="152"/>
    </row>
    <row r="120" spans="1:3" x14ac:dyDescent="0.2">
      <c r="A120" s="53"/>
      <c r="B120" s="55"/>
      <c r="C120" s="152"/>
    </row>
    <row r="121" spans="1:3" x14ac:dyDescent="0.2">
      <c r="A121" s="53"/>
      <c r="B121" s="55"/>
      <c r="C121" s="152"/>
    </row>
    <row r="122" spans="1:3" x14ac:dyDescent="0.2">
      <c r="A122" s="53"/>
      <c r="B122" s="55"/>
      <c r="C122" s="152"/>
    </row>
    <row r="123" spans="1:3" x14ac:dyDescent="0.2">
      <c r="A123" s="53"/>
      <c r="B123" s="55"/>
      <c r="C123" s="152"/>
    </row>
    <row r="124" spans="1:3" x14ac:dyDescent="0.2">
      <c r="A124" s="53"/>
      <c r="B124" s="55"/>
      <c r="C124" s="152"/>
    </row>
    <row r="125" spans="1:3" x14ac:dyDescent="0.2">
      <c r="A125" s="53"/>
      <c r="B125" s="55"/>
      <c r="C125" s="152"/>
    </row>
    <row r="126" spans="1:3" x14ac:dyDescent="0.2">
      <c r="A126" s="53"/>
      <c r="B126" s="55"/>
      <c r="C126" s="152"/>
    </row>
    <row r="127" spans="1:3" x14ac:dyDescent="0.2">
      <c r="A127" s="53"/>
      <c r="B127" s="55"/>
      <c r="C127" s="152"/>
    </row>
    <row r="128" spans="1:3" x14ac:dyDescent="0.2">
      <c r="A128" s="53"/>
      <c r="B128" s="55"/>
      <c r="C128" s="152"/>
    </row>
    <row r="129" spans="1:3" x14ac:dyDescent="0.2">
      <c r="A129" s="53"/>
      <c r="B129" s="55"/>
      <c r="C129" s="152"/>
    </row>
    <row r="130" spans="1:3" x14ac:dyDescent="0.2">
      <c r="A130" s="53"/>
      <c r="B130" s="55"/>
      <c r="C130" s="152"/>
    </row>
    <row r="131" spans="1:3" x14ac:dyDescent="0.2">
      <c r="A131" s="53"/>
      <c r="B131" s="55"/>
      <c r="C131" s="152"/>
    </row>
    <row r="132" spans="1:3" x14ac:dyDescent="0.2">
      <c r="A132" s="53"/>
      <c r="B132" s="55"/>
      <c r="C132" s="152"/>
    </row>
    <row r="133" spans="1:3" x14ac:dyDescent="0.2">
      <c r="A133" s="53"/>
      <c r="B133" s="55"/>
      <c r="C133" s="152"/>
    </row>
    <row r="134" spans="1:3" x14ac:dyDescent="0.2">
      <c r="A134" s="53"/>
      <c r="B134" s="55"/>
      <c r="C134" s="152"/>
    </row>
    <row r="135" spans="1:3" x14ac:dyDescent="0.2">
      <c r="A135" s="53"/>
      <c r="B135" s="55"/>
      <c r="C135" s="152"/>
    </row>
    <row r="136" spans="1:3" x14ac:dyDescent="0.2">
      <c r="A136" s="53"/>
      <c r="B136" s="55"/>
      <c r="C136" s="152"/>
    </row>
    <row r="137" spans="1:3" x14ac:dyDescent="0.2">
      <c r="A137" s="53"/>
      <c r="B137" s="55"/>
      <c r="C137" s="152"/>
    </row>
    <row r="138" spans="1:3" x14ac:dyDescent="0.2">
      <c r="A138" s="53"/>
      <c r="B138" s="55"/>
      <c r="C138" s="152"/>
    </row>
    <row r="139" spans="1:3" x14ac:dyDescent="0.2">
      <c r="A139" s="53"/>
      <c r="B139" s="55"/>
      <c r="C139" s="152"/>
    </row>
    <row r="140" spans="1:3" x14ac:dyDescent="0.2">
      <c r="A140" s="53"/>
      <c r="B140" s="55"/>
      <c r="C140" s="152"/>
    </row>
    <row r="141" spans="1:3" x14ac:dyDescent="0.2">
      <c r="A141" s="53"/>
      <c r="B141" s="55"/>
      <c r="C141" s="152"/>
    </row>
    <row r="142" spans="1:3" x14ac:dyDescent="0.2">
      <c r="A142" s="53"/>
      <c r="B142" s="55"/>
      <c r="C142" s="152"/>
    </row>
    <row r="143" spans="1:3" x14ac:dyDescent="0.2">
      <c r="A143" s="53"/>
      <c r="B143" s="55"/>
      <c r="C143" s="152"/>
    </row>
    <row r="144" spans="1:3" x14ac:dyDescent="0.2">
      <c r="A144" s="53"/>
      <c r="B144" s="55"/>
      <c r="C144" s="152"/>
    </row>
  </sheetData>
  <mergeCells count="3">
    <mergeCell ref="B5:D5"/>
    <mergeCell ref="G7:H7"/>
    <mergeCell ref="G24:I2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6387" r:id="rId3">
          <objectPr defaultSize="0" autoPict="0" r:id="rId4">
            <anchor moveWithCells="1" sizeWithCells="1">
              <from>
                <xdr:col>4</xdr:col>
                <xdr:colOff>295275</xdr:colOff>
                <xdr:row>3</xdr:row>
                <xdr:rowOff>161925</xdr:rowOff>
              </from>
              <to>
                <xdr:col>6</xdr:col>
                <xdr:colOff>590550</xdr:colOff>
                <xdr:row>5</xdr:row>
                <xdr:rowOff>19050</xdr:rowOff>
              </to>
            </anchor>
          </objectPr>
        </oleObject>
      </mc:Choice>
      <mc:Fallback>
        <oleObject progId="Equation.DSMT4" shapeId="16387" r:id="rId3"/>
      </mc:Fallback>
    </mc:AlternateContent>
    <mc:AlternateContent xmlns:mc="http://schemas.openxmlformats.org/markup-compatibility/2006">
      <mc:Choice Requires="x14">
        <oleObject progId="Equation.DSMT4" shapeId="16388" r:id="rId5">
          <objectPr defaultSize="0" autoPict="0" r:id="rId6">
            <anchor moveWithCells="1" sizeWithCells="1">
              <from>
                <xdr:col>6</xdr:col>
                <xdr:colOff>152400</xdr:colOff>
                <xdr:row>7</xdr:row>
                <xdr:rowOff>190500</xdr:rowOff>
              </from>
              <to>
                <xdr:col>7</xdr:col>
                <xdr:colOff>600075</xdr:colOff>
                <xdr:row>16</xdr:row>
                <xdr:rowOff>123825</xdr:rowOff>
              </to>
            </anchor>
          </objectPr>
        </oleObject>
      </mc:Choice>
      <mc:Fallback>
        <oleObject progId="Equation.DSMT4" shapeId="16388" r:id="rId5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1"/>
  <sheetViews>
    <sheetView zoomScale="150" zoomScaleNormal="150" workbookViewId="0">
      <selection activeCell="H31" sqref="H31"/>
    </sheetView>
  </sheetViews>
  <sheetFormatPr defaultRowHeight="15" x14ac:dyDescent="0.2"/>
  <cols>
    <col min="3" max="3" width="9.21875" customWidth="1"/>
    <col min="4" max="4" width="9.88671875" customWidth="1"/>
    <col min="5" max="5" width="2.6640625" customWidth="1"/>
    <col min="6" max="6" width="11.109375" style="132" bestFit="1" customWidth="1"/>
    <col min="7" max="7" width="10.21875" style="132" bestFit="1" customWidth="1"/>
    <col min="8" max="8" width="9.44140625" style="132" bestFit="1" customWidth="1"/>
    <col min="10" max="10" width="1.21875" customWidth="1"/>
  </cols>
  <sheetData>
    <row r="1" spans="1:17" ht="15.75" x14ac:dyDescent="0.25">
      <c r="A1" s="131" t="s">
        <v>223</v>
      </c>
      <c r="B1" s="124"/>
      <c r="C1" s="124"/>
      <c r="D1" s="124"/>
      <c r="E1" s="124"/>
      <c r="F1" s="124"/>
      <c r="G1" s="133"/>
    </row>
    <row r="2" spans="1:17" ht="15.75" x14ac:dyDescent="0.25">
      <c r="A2" s="131" t="s">
        <v>229</v>
      </c>
      <c r="B2" s="124"/>
      <c r="C2" s="124"/>
      <c r="D2" s="124"/>
      <c r="E2" s="124"/>
      <c r="F2" s="124"/>
      <c r="G2" s="133"/>
    </row>
    <row r="3" spans="1:17" x14ac:dyDescent="0.2">
      <c r="A3" s="124" t="s">
        <v>112</v>
      </c>
      <c r="B3" s="124"/>
      <c r="C3" s="124"/>
      <c r="D3" s="124"/>
      <c r="E3" s="124"/>
      <c r="F3" s="124"/>
      <c r="G3" s="133"/>
    </row>
    <row r="4" spans="1:17" ht="15.75" thickBot="1" x14ac:dyDescent="0.25"/>
    <row r="5" spans="1:17" ht="15.75" thickBot="1" x14ac:dyDescent="0.25">
      <c r="A5" s="326" t="s">
        <v>224</v>
      </c>
      <c r="B5" s="326"/>
      <c r="C5" s="326"/>
      <c r="D5" s="326"/>
      <c r="F5" s="25"/>
      <c r="G5" s="127"/>
      <c r="H5" s="127"/>
      <c r="I5" s="27"/>
    </row>
    <row r="6" spans="1:17" ht="15.75" thickBot="1" x14ac:dyDescent="0.25">
      <c r="A6" s="329" t="s">
        <v>225</v>
      </c>
      <c r="B6" s="330"/>
      <c r="C6" s="329" t="s">
        <v>226</v>
      </c>
      <c r="D6" s="330"/>
      <c r="F6" s="128"/>
      <c r="G6" s="62"/>
      <c r="H6" s="62"/>
      <c r="I6" s="30"/>
    </row>
    <row r="7" spans="1:17" ht="15.75" thickBot="1" x14ac:dyDescent="0.25">
      <c r="A7" s="126" t="s">
        <v>208</v>
      </c>
      <c r="B7" s="178">
        <v>6.6</v>
      </c>
      <c r="C7" s="126" t="s">
        <v>208</v>
      </c>
      <c r="D7" s="177">
        <v>3.7949999999999999</v>
      </c>
      <c r="F7" s="128"/>
      <c r="G7" s="137"/>
      <c r="H7" s="62"/>
      <c r="I7" s="30"/>
      <c r="O7" s="164" t="s">
        <v>232</v>
      </c>
      <c r="P7" s="164"/>
      <c r="Q7" s="165"/>
    </row>
    <row r="8" spans="1:17" ht="15.75" thickBot="1" x14ac:dyDescent="0.25">
      <c r="A8" s="128" t="s">
        <v>209</v>
      </c>
      <c r="B8" s="175">
        <v>2.129</v>
      </c>
      <c r="C8" s="128" t="s">
        <v>209</v>
      </c>
      <c r="D8" s="176">
        <v>0.97099999999999997</v>
      </c>
      <c r="F8" s="40"/>
      <c r="G8" s="130"/>
      <c r="H8" s="130"/>
      <c r="I8" s="32"/>
      <c r="O8" s="166"/>
      <c r="P8" s="167"/>
      <c r="Q8" s="168"/>
    </row>
    <row r="9" spans="1:17" x14ac:dyDescent="0.2">
      <c r="A9" s="128" t="s">
        <v>137</v>
      </c>
      <c r="B9" s="151">
        <v>30</v>
      </c>
      <c r="C9" s="128" t="s">
        <v>137</v>
      </c>
      <c r="D9" s="48">
        <v>25</v>
      </c>
      <c r="O9" s="169">
        <f>(O17+Q17)^2</f>
        <v>3.5646071853466715E-2</v>
      </c>
      <c r="P9" s="164"/>
      <c r="Q9" s="170"/>
    </row>
    <row r="10" spans="1:17" ht="15.75" thickBot="1" x14ac:dyDescent="0.25">
      <c r="A10" s="40" t="s">
        <v>214</v>
      </c>
      <c r="B10" s="134">
        <f>B9-1</f>
        <v>29</v>
      </c>
      <c r="C10" s="40" t="s">
        <v>214</v>
      </c>
      <c r="D10" s="32">
        <f>D9-1</f>
        <v>24</v>
      </c>
      <c r="O10" s="171"/>
      <c r="P10" s="172" t="s">
        <v>233</v>
      </c>
      <c r="Q10" s="170">
        <f>O9/O12</f>
        <v>42.113845283119424</v>
      </c>
    </row>
    <row r="11" spans="1:17" x14ac:dyDescent="0.2">
      <c r="F11" s="255" t="s">
        <v>210</v>
      </c>
      <c r="G11" s="250">
        <v>0.96</v>
      </c>
      <c r="O11" s="169"/>
      <c r="P11" s="164"/>
      <c r="Q11" s="170"/>
    </row>
    <row r="12" spans="1:17" ht="15.75" thickBot="1" x14ac:dyDescent="0.25">
      <c r="F12" s="256" t="s">
        <v>211</v>
      </c>
      <c r="G12" s="151">
        <f>1-G11</f>
        <v>4.0000000000000036E-2</v>
      </c>
      <c r="O12" s="169">
        <f>(O17^2/B10 + Q17^2/D10)</f>
        <v>8.4642168421877168E-4</v>
      </c>
      <c r="P12" s="164"/>
      <c r="Q12" s="170"/>
    </row>
    <row r="13" spans="1:17" ht="16.5" thickBot="1" x14ac:dyDescent="0.3">
      <c r="D13" s="212" t="s">
        <v>248</v>
      </c>
      <c r="F13" s="257" t="s">
        <v>212</v>
      </c>
      <c r="G13" s="134">
        <f>G12/2</f>
        <v>2.0000000000000018E-2</v>
      </c>
      <c r="I13" t="s">
        <v>215</v>
      </c>
      <c r="L13" t="s">
        <v>173</v>
      </c>
      <c r="O13" s="169"/>
      <c r="P13" s="164"/>
      <c r="Q13" s="170"/>
    </row>
    <row r="14" spans="1:17" ht="19.5" thickBot="1" x14ac:dyDescent="0.4">
      <c r="D14" s="215">
        <f>D27</f>
        <v>42.113845283119424</v>
      </c>
      <c r="F14" s="214">
        <f>_xlfn.T.INV(1-G13,D14)</f>
        <v>2.1195150600873749</v>
      </c>
      <c r="G14" s="213" t="s">
        <v>249</v>
      </c>
      <c r="H14" s="122" t="s">
        <v>171</v>
      </c>
      <c r="I14">
        <f>($B$7-$D$7)-$F$14*SQRT($B$8^2/$B$9+$D$8^2/$D$9)</f>
        <v>1.88404284498721</v>
      </c>
      <c r="J14" t="s">
        <v>216</v>
      </c>
      <c r="K14">
        <f>($B$7-$D$7)+$F$14*SQRT($B$8^2/$B$9+$D$8^2/$D$9)</f>
        <v>3.7259571550127895</v>
      </c>
      <c r="O14" s="171"/>
      <c r="P14" s="173"/>
      <c r="Q14" s="174"/>
    </row>
    <row r="15" spans="1:17" x14ac:dyDescent="0.2">
      <c r="O15" s="165"/>
      <c r="P15" s="165"/>
      <c r="Q15" s="165"/>
    </row>
    <row r="16" spans="1:17" x14ac:dyDescent="0.2">
      <c r="G16" s="69"/>
      <c r="O16" s="165"/>
      <c r="P16" s="165"/>
      <c r="Q16" s="165"/>
    </row>
    <row r="17" spans="1:17" x14ac:dyDescent="0.2">
      <c r="D17" s="29"/>
      <c r="O17" s="165">
        <f>B8^2/B9</f>
        <v>0.15108803333333334</v>
      </c>
      <c r="P17" s="165"/>
      <c r="Q17" s="165">
        <f>D8^2/D9</f>
        <v>3.771364E-2</v>
      </c>
    </row>
    <row r="18" spans="1:17" ht="15.75" x14ac:dyDescent="0.25">
      <c r="A18" s="65" t="s">
        <v>244</v>
      </c>
      <c r="B18" s="195"/>
      <c r="C18" s="43"/>
      <c r="F18"/>
    </row>
    <row r="19" spans="1:17" x14ac:dyDescent="0.2">
      <c r="A19" s="195"/>
      <c r="B19" s="195"/>
      <c r="C19" s="69"/>
      <c r="F19"/>
    </row>
    <row r="20" spans="1:17" ht="15.75" thickBot="1" x14ac:dyDescent="0.25">
      <c r="B20" s="195"/>
      <c r="C20" s="69"/>
      <c r="F20"/>
    </row>
    <row r="21" spans="1:17" x14ac:dyDescent="0.2">
      <c r="A21" s="195"/>
      <c r="B21" s="195"/>
      <c r="C21" s="69"/>
      <c r="F21" s="25"/>
      <c r="G21" s="313">
        <f>(B8^2/B9+D8^2/D9)^2</f>
        <v>3.5646071853466715E-2</v>
      </c>
      <c r="H21" s="27"/>
    </row>
    <row r="22" spans="1:17" ht="16.5" thickBot="1" x14ac:dyDescent="0.3">
      <c r="A22" s="195"/>
      <c r="B22" s="195"/>
      <c r="C22" s="205" t="s">
        <v>245</v>
      </c>
      <c r="F22" s="31"/>
      <c r="G22" s="24"/>
      <c r="H22" s="32"/>
    </row>
    <row r="23" spans="1:17" x14ac:dyDescent="0.2">
      <c r="A23" s="195"/>
      <c r="B23" s="195"/>
      <c r="C23" s="195"/>
      <c r="F23" s="28"/>
      <c r="G23" s="29"/>
      <c r="H23" s="30"/>
    </row>
    <row r="24" spans="1:17" ht="15.75" thickBot="1" x14ac:dyDescent="0.25">
      <c r="A24" s="195"/>
      <c r="B24" s="195"/>
      <c r="C24" s="195"/>
      <c r="F24" s="31">
        <f>(B8^2/B9)^2/B10</f>
        <v>7.8715840746670506E-4</v>
      </c>
      <c r="G24" s="180" t="s">
        <v>246</v>
      </c>
      <c r="H24" s="32">
        <f>(D8^2/D9)^2/D10</f>
        <v>5.9263276752066669E-5</v>
      </c>
    </row>
    <row r="25" spans="1:17" x14ac:dyDescent="0.2">
      <c r="A25" s="195"/>
      <c r="B25" s="195"/>
      <c r="C25" s="195"/>
      <c r="F25"/>
    </row>
    <row r="26" spans="1:17" ht="15.75" thickBot="1" x14ac:dyDescent="0.25">
      <c r="A26" s="195"/>
      <c r="B26" s="195"/>
      <c r="C26" s="195"/>
      <c r="F26"/>
    </row>
    <row r="27" spans="1:17" ht="16.5" thickBot="1" x14ac:dyDescent="0.3">
      <c r="A27" s="195"/>
      <c r="B27" s="195"/>
      <c r="C27" s="205" t="s">
        <v>245</v>
      </c>
      <c r="D27" s="331">
        <f>G21/(F24+H24)</f>
        <v>42.113845283119424</v>
      </c>
      <c r="E27" s="332"/>
      <c r="F27" s="208" t="s">
        <v>247</v>
      </c>
    </row>
    <row r="28" spans="1:17" x14ac:dyDescent="0.2">
      <c r="A28" s="195"/>
      <c r="B28" s="195"/>
      <c r="C28" s="195"/>
      <c r="F28"/>
    </row>
    <row r="29" spans="1:17" x14ac:dyDescent="0.2">
      <c r="A29" s="117"/>
    </row>
    <row r="30" spans="1:17" x14ac:dyDescent="0.2">
      <c r="A30" s="117"/>
      <c r="B30" s="117"/>
      <c r="C30" s="117"/>
    </row>
    <row r="31" spans="1:17" x14ac:dyDescent="0.2">
      <c r="A31" s="117"/>
      <c r="B31" s="117"/>
      <c r="C31" s="117"/>
    </row>
    <row r="32" spans="1:17" x14ac:dyDescent="0.2">
      <c r="A32" s="117"/>
      <c r="B32" s="117"/>
      <c r="C32" s="117"/>
    </row>
    <row r="33" spans="1:3" x14ac:dyDescent="0.2">
      <c r="A33" s="117"/>
      <c r="B33" s="117"/>
      <c r="C33" s="117"/>
    </row>
    <row r="34" spans="1:3" x14ac:dyDescent="0.2">
      <c r="A34" s="117"/>
      <c r="B34" s="117"/>
      <c r="C34" s="117"/>
    </row>
    <row r="35" spans="1:3" x14ac:dyDescent="0.2">
      <c r="A35" s="117"/>
      <c r="B35" s="117"/>
      <c r="C35" s="117"/>
    </row>
    <row r="36" spans="1:3" x14ac:dyDescent="0.2">
      <c r="A36" s="117"/>
      <c r="B36" s="117"/>
      <c r="C36" s="117"/>
    </row>
    <row r="37" spans="1:3" x14ac:dyDescent="0.2">
      <c r="A37" s="117"/>
      <c r="B37" s="117"/>
      <c r="C37" s="117"/>
    </row>
    <row r="38" spans="1:3" x14ac:dyDescent="0.2">
      <c r="A38" s="117"/>
      <c r="B38" s="117"/>
      <c r="C38" s="117"/>
    </row>
    <row r="39" spans="1:3" x14ac:dyDescent="0.2">
      <c r="A39" s="117"/>
      <c r="B39" s="117"/>
      <c r="C39" s="117"/>
    </row>
    <row r="40" spans="1:3" x14ac:dyDescent="0.2">
      <c r="A40" s="117"/>
      <c r="B40" s="117"/>
      <c r="C40" s="117"/>
    </row>
    <row r="41" spans="1:3" x14ac:dyDescent="0.2">
      <c r="A41" s="117"/>
      <c r="B41" s="117"/>
      <c r="C41" s="117"/>
    </row>
    <row r="42" spans="1:3" x14ac:dyDescent="0.2">
      <c r="A42" s="117"/>
      <c r="B42" s="117"/>
      <c r="C42" s="117"/>
    </row>
    <row r="43" spans="1:3" x14ac:dyDescent="0.2">
      <c r="A43" s="117"/>
      <c r="B43" s="117"/>
      <c r="C43" s="117"/>
    </row>
    <row r="44" spans="1:3" x14ac:dyDescent="0.2">
      <c r="A44" s="117"/>
      <c r="B44" s="117"/>
      <c r="C44" s="117"/>
    </row>
    <row r="45" spans="1:3" x14ac:dyDescent="0.2">
      <c r="A45" s="117"/>
      <c r="B45" s="117"/>
      <c r="C45" s="117"/>
    </row>
    <row r="46" spans="1:3" x14ac:dyDescent="0.2">
      <c r="A46" s="117"/>
      <c r="B46" s="117"/>
      <c r="C46" s="117"/>
    </row>
    <row r="47" spans="1:3" x14ac:dyDescent="0.2">
      <c r="A47" s="117"/>
      <c r="B47" s="117"/>
      <c r="C47" s="117"/>
    </row>
    <row r="48" spans="1:3" x14ac:dyDescent="0.2">
      <c r="A48" s="117"/>
      <c r="B48" s="117"/>
      <c r="C48" s="117"/>
    </row>
    <row r="49" spans="1:3" x14ac:dyDescent="0.2">
      <c r="A49" s="117"/>
      <c r="B49" s="117"/>
      <c r="C49" s="117"/>
    </row>
    <row r="50" spans="1:3" x14ac:dyDescent="0.2">
      <c r="A50" s="117"/>
      <c r="B50" s="117"/>
      <c r="C50" s="117"/>
    </row>
    <row r="51" spans="1:3" x14ac:dyDescent="0.2">
      <c r="A51" s="117"/>
      <c r="B51" s="117"/>
      <c r="C51" s="117"/>
    </row>
    <row r="52" spans="1:3" x14ac:dyDescent="0.2">
      <c r="A52" s="117"/>
      <c r="B52" s="117"/>
      <c r="C52" s="117"/>
    </row>
    <row r="53" spans="1:3" x14ac:dyDescent="0.2">
      <c r="A53" s="117"/>
      <c r="B53" s="117"/>
      <c r="C53" s="117"/>
    </row>
    <row r="54" spans="1:3" x14ac:dyDescent="0.2">
      <c r="A54" s="117"/>
      <c r="B54" s="117"/>
      <c r="C54" s="117"/>
    </row>
    <row r="55" spans="1:3" x14ac:dyDescent="0.2">
      <c r="A55" s="117"/>
      <c r="B55" s="117"/>
      <c r="C55" s="117"/>
    </row>
    <row r="56" spans="1:3" x14ac:dyDescent="0.2">
      <c r="A56" s="117"/>
      <c r="B56" s="117"/>
      <c r="C56" s="117"/>
    </row>
    <row r="57" spans="1:3" x14ac:dyDescent="0.2">
      <c r="A57" s="117"/>
      <c r="B57" s="117"/>
      <c r="C57" s="117"/>
    </row>
    <row r="58" spans="1:3" x14ac:dyDescent="0.2">
      <c r="A58" s="117"/>
      <c r="B58" s="117"/>
      <c r="C58" s="117"/>
    </row>
    <row r="59" spans="1:3" x14ac:dyDescent="0.2">
      <c r="A59" s="117"/>
      <c r="B59" s="117"/>
      <c r="C59" s="117"/>
    </row>
    <row r="60" spans="1:3" x14ac:dyDescent="0.2">
      <c r="A60" s="117"/>
      <c r="B60" s="117"/>
      <c r="C60" s="117"/>
    </row>
    <row r="61" spans="1:3" x14ac:dyDescent="0.2">
      <c r="A61" s="117"/>
      <c r="B61" s="117"/>
      <c r="C61" s="117"/>
    </row>
    <row r="62" spans="1:3" x14ac:dyDescent="0.2">
      <c r="A62" s="117"/>
      <c r="B62" s="117"/>
      <c r="C62" s="117"/>
    </row>
    <row r="63" spans="1:3" x14ac:dyDescent="0.2">
      <c r="A63" s="117"/>
      <c r="B63" s="117"/>
      <c r="C63" s="117"/>
    </row>
    <row r="64" spans="1:3" x14ac:dyDescent="0.2">
      <c r="A64" s="117"/>
      <c r="B64" s="117"/>
      <c r="C64" s="117"/>
    </row>
    <row r="65" spans="1:3" x14ac:dyDescent="0.2">
      <c r="A65" s="117"/>
      <c r="B65" s="117"/>
      <c r="C65" s="117"/>
    </row>
    <row r="66" spans="1:3" x14ac:dyDescent="0.2">
      <c r="A66" s="117"/>
      <c r="B66" s="117"/>
      <c r="C66" s="117"/>
    </row>
    <row r="67" spans="1:3" x14ac:dyDescent="0.2">
      <c r="A67" s="117"/>
      <c r="B67" s="117"/>
      <c r="C67" s="117"/>
    </row>
    <row r="68" spans="1:3" x14ac:dyDescent="0.2">
      <c r="A68" s="117"/>
      <c r="B68" s="117"/>
      <c r="C68" s="117"/>
    </row>
    <row r="69" spans="1:3" x14ac:dyDescent="0.2">
      <c r="A69" s="117"/>
      <c r="B69" s="117"/>
      <c r="C69" s="117"/>
    </row>
    <row r="70" spans="1:3" x14ac:dyDescent="0.2">
      <c r="A70" s="117"/>
      <c r="B70" s="117"/>
      <c r="C70" s="117"/>
    </row>
    <row r="71" spans="1:3" x14ac:dyDescent="0.2">
      <c r="A71" s="117"/>
      <c r="B71" s="117"/>
      <c r="C71" s="117"/>
    </row>
    <row r="72" spans="1:3" x14ac:dyDescent="0.2">
      <c r="A72" s="117"/>
      <c r="B72" s="117"/>
      <c r="C72" s="117"/>
    </row>
    <row r="73" spans="1:3" x14ac:dyDescent="0.2">
      <c r="A73" s="117"/>
      <c r="B73" s="117"/>
      <c r="C73" s="117"/>
    </row>
    <row r="74" spans="1:3" x14ac:dyDescent="0.2">
      <c r="A74" s="117"/>
      <c r="B74" s="117"/>
      <c r="C74" s="117"/>
    </row>
    <row r="75" spans="1:3" x14ac:dyDescent="0.2">
      <c r="A75" s="117"/>
      <c r="B75" s="117"/>
      <c r="C75" s="117"/>
    </row>
    <row r="76" spans="1:3" x14ac:dyDescent="0.2">
      <c r="A76" s="117"/>
      <c r="B76" s="117"/>
      <c r="C76" s="117"/>
    </row>
    <row r="77" spans="1:3" x14ac:dyDescent="0.2">
      <c r="A77" s="117"/>
      <c r="B77" s="117"/>
      <c r="C77" s="117"/>
    </row>
    <row r="78" spans="1:3" x14ac:dyDescent="0.2">
      <c r="A78" s="117"/>
      <c r="B78" s="117"/>
      <c r="C78" s="117"/>
    </row>
    <row r="79" spans="1:3" x14ac:dyDescent="0.2">
      <c r="A79" s="117"/>
      <c r="B79" s="117"/>
      <c r="C79" s="117"/>
    </row>
    <row r="80" spans="1:3" x14ac:dyDescent="0.2">
      <c r="A80" s="117"/>
      <c r="B80" s="117"/>
      <c r="C80" s="117"/>
    </row>
    <row r="81" spans="1:3" x14ac:dyDescent="0.2">
      <c r="A81" s="117"/>
      <c r="B81" s="117"/>
      <c r="C81" s="117"/>
    </row>
    <row r="82" spans="1:3" x14ac:dyDescent="0.2">
      <c r="A82" s="117"/>
      <c r="B82" s="117"/>
      <c r="C82" s="117"/>
    </row>
    <row r="83" spans="1:3" x14ac:dyDescent="0.2">
      <c r="A83" s="117"/>
      <c r="B83" s="117"/>
      <c r="C83" s="117"/>
    </row>
    <row r="84" spans="1:3" x14ac:dyDescent="0.2">
      <c r="A84" s="117"/>
      <c r="B84" s="117"/>
      <c r="C84" s="117"/>
    </row>
    <row r="85" spans="1:3" x14ac:dyDescent="0.2">
      <c r="A85" s="117"/>
      <c r="B85" s="117"/>
      <c r="C85" s="117"/>
    </row>
    <row r="86" spans="1:3" x14ac:dyDescent="0.2">
      <c r="A86" s="117"/>
      <c r="B86" s="117"/>
      <c r="C86" s="117"/>
    </row>
    <row r="87" spans="1:3" x14ac:dyDescent="0.2">
      <c r="A87" s="117"/>
      <c r="B87" s="117"/>
      <c r="C87" s="117"/>
    </row>
    <row r="88" spans="1:3" x14ac:dyDescent="0.2">
      <c r="A88" s="117"/>
      <c r="B88" s="117"/>
      <c r="C88" s="117"/>
    </row>
    <row r="89" spans="1:3" x14ac:dyDescent="0.2">
      <c r="A89" s="117"/>
      <c r="B89" s="117"/>
      <c r="C89" s="117"/>
    </row>
    <row r="90" spans="1:3" x14ac:dyDescent="0.2">
      <c r="A90" s="117"/>
      <c r="B90" s="117"/>
      <c r="C90" s="117"/>
    </row>
    <row r="91" spans="1:3" x14ac:dyDescent="0.2">
      <c r="A91" s="117"/>
      <c r="B91" s="117"/>
      <c r="C91" s="117"/>
    </row>
    <row r="92" spans="1:3" x14ac:dyDescent="0.2">
      <c r="A92" s="117"/>
      <c r="B92" s="117"/>
      <c r="C92" s="117"/>
    </row>
    <row r="93" spans="1:3" x14ac:dyDescent="0.2">
      <c r="A93" s="117"/>
      <c r="B93" s="117"/>
      <c r="C93" s="117"/>
    </row>
    <row r="94" spans="1:3" x14ac:dyDescent="0.2">
      <c r="A94" s="117"/>
      <c r="B94" s="117"/>
      <c r="C94" s="117"/>
    </row>
    <row r="95" spans="1:3" x14ac:dyDescent="0.2">
      <c r="A95" s="117"/>
      <c r="B95" s="117"/>
      <c r="C95" s="117"/>
    </row>
    <row r="96" spans="1:3" x14ac:dyDescent="0.2">
      <c r="A96" s="117"/>
      <c r="B96" s="117"/>
      <c r="C96" s="117"/>
    </row>
    <row r="97" spans="1:3" x14ac:dyDescent="0.2">
      <c r="A97" s="117"/>
      <c r="B97" s="117"/>
      <c r="C97" s="117"/>
    </row>
    <row r="98" spans="1:3" x14ac:dyDescent="0.2">
      <c r="A98" s="117"/>
      <c r="B98" s="117"/>
      <c r="C98" s="117"/>
    </row>
    <row r="99" spans="1:3" x14ac:dyDescent="0.2">
      <c r="A99" s="117"/>
      <c r="B99" s="117"/>
      <c r="C99" s="117"/>
    </row>
    <row r="100" spans="1:3" x14ac:dyDescent="0.2">
      <c r="A100" s="117"/>
      <c r="B100" s="117"/>
      <c r="C100" s="117"/>
    </row>
    <row r="101" spans="1:3" x14ac:dyDescent="0.2">
      <c r="A101" s="117"/>
      <c r="B101" s="117"/>
      <c r="C101" s="117"/>
    </row>
    <row r="102" spans="1:3" x14ac:dyDescent="0.2">
      <c r="A102" s="117"/>
      <c r="B102" s="117"/>
      <c r="C102" s="117"/>
    </row>
    <row r="103" spans="1:3" x14ac:dyDescent="0.2">
      <c r="A103" s="117"/>
      <c r="B103" s="117"/>
      <c r="C103" s="117"/>
    </row>
    <row r="104" spans="1:3" x14ac:dyDescent="0.2">
      <c r="A104" s="117"/>
      <c r="B104" s="117"/>
      <c r="C104" s="117"/>
    </row>
    <row r="105" spans="1:3" x14ac:dyDescent="0.2">
      <c r="A105" s="117"/>
      <c r="B105" s="117"/>
      <c r="C105" s="117"/>
    </row>
    <row r="106" spans="1:3" x14ac:dyDescent="0.2">
      <c r="A106" s="117"/>
      <c r="B106" s="117"/>
      <c r="C106" s="117"/>
    </row>
    <row r="107" spans="1:3" x14ac:dyDescent="0.2">
      <c r="A107" s="117"/>
      <c r="B107" s="117"/>
      <c r="C107" s="117"/>
    </row>
    <row r="108" spans="1:3" x14ac:dyDescent="0.2">
      <c r="A108" s="117"/>
      <c r="B108" s="117"/>
      <c r="C108" s="117"/>
    </row>
    <row r="109" spans="1:3" x14ac:dyDescent="0.2">
      <c r="A109" s="117"/>
      <c r="B109" s="117"/>
      <c r="C109" s="117"/>
    </row>
    <row r="110" spans="1:3" x14ac:dyDescent="0.2">
      <c r="A110" s="117"/>
      <c r="B110" s="117"/>
      <c r="C110" s="117"/>
    </row>
    <row r="111" spans="1:3" x14ac:dyDescent="0.2">
      <c r="A111" s="117"/>
      <c r="B111" s="117"/>
      <c r="C111" s="117"/>
    </row>
    <row r="112" spans="1:3" x14ac:dyDescent="0.2">
      <c r="A112" s="117"/>
      <c r="B112" s="117"/>
      <c r="C112" s="117"/>
    </row>
    <row r="113" spans="1:3" x14ac:dyDescent="0.2">
      <c r="A113" s="117"/>
      <c r="B113" s="117"/>
      <c r="C113" s="117"/>
    </row>
    <row r="114" spans="1:3" x14ac:dyDescent="0.2">
      <c r="A114" s="117"/>
      <c r="B114" s="117"/>
      <c r="C114" s="117"/>
    </row>
    <row r="115" spans="1:3" x14ac:dyDescent="0.2">
      <c r="A115" s="117"/>
      <c r="B115" s="117"/>
      <c r="C115" s="117"/>
    </row>
    <row r="116" spans="1:3" x14ac:dyDescent="0.2">
      <c r="A116" s="117"/>
      <c r="B116" s="117"/>
      <c r="C116" s="117"/>
    </row>
    <row r="117" spans="1:3" x14ac:dyDescent="0.2">
      <c r="A117" s="117"/>
      <c r="B117" s="117"/>
      <c r="C117" s="117"/>
    </row>
    <row r="118" spans="1:3" x14ac:dyDescent="0.2">
      <c r="A118" s="117"/>
      <c r="B118" s="117"/>
      <c r="C118" s="117"/>
    </row>
    <row r="119" spans="1:3" x14ac:dyDescent="0.2">
      <c r="A119" s="117"/>
      <c r="B119" s="117"/>
      <c r="C119" s="117"/>
    </row>
    <row r="120" spans="1:3" x14ac:dyDescent="0.2">
      <c r="A120" s="117"/>
      <c r="B120" s="117"/>
      <c r="C120" s="117"/>
    </row>
    <row r="121" spans="1:3" x14ac:dyDescent="0.2">
      <c r="A121" s="117"/>
      <c r="B121" s="117"/>
      <c r="C121" s="117"/>
    </row>
    <row r="122" spans="1:3" x14ac:dyDescent="0.2">
      <c r="A122" s="117"/>
      <c r="B122" s="117"/>
      <c r="C122" s="117"/>
    </row>
    <row r="123" spans="1:3" x14ac:dyDescent="0.2">
      <c r="A123" s="117"/>
      <c r="B123" s="117"/>
      <c r="C123" s="117"/>
    </row>
    <row r="124" spans="1:3" x14ac:dyDescent="0.2">
      <c r="A124" s="117"/>
      <c r="B124" s="117"/>
      <c r="C124" s="117"/>
    </row>
    <row r="125" spans="1:3" x14ac:dyDescent="0.2">
      <c r="A125" s="117"/>
      <c r="B125" s="117"/>
      <c r="C125" s="117"/>
    </row>
    <row r="126" spans="1:3" x14ac:dyDescent="0.2">
      <c r="A126" s="117"/>
      <c r="B126" s="117"/>
      <c r="C126" s="117"/>
    </row>
    <row r="127" spans="1:3" x14ac:dyDescent="0.2">
      <c r="A127" s="117"/>
      <c r="B127" s="117"/>
      <c r="C127" s="117"/>
    </row>
    <row r="128" spans="1:3" x14ac:dyDescent="0.2">
      <c r="A128" s="117"/>
      <c r="B128" s="117"/>
      <c r="C128" s="117"/>
    </row>
    <row r="129" spans="1:3" x14ac:dyDescent="0.2">
      <c r="A129" s="117"/>
      <c r="B129" s="117"/>
      <c r="C129" s="117"/>
    </row>
    <row r="130" spans="1:3" x14ac:dyDescent="0.2">
      <c r="A130" s="117"/>
      <c r="B130" s="117"/>
      <c r="C130" s="117"/>
    </row>
    <row r="131" spans="1:3" x14ac:dyDescent="0.2">
      <c r="A131" s="117"/>
      <c r="B131" s="117"/>
      <c r="C131" s="117"/>
    </row>
    <row r="132" spans="1:3" x14ac:dyDescent="0.2">
      <c r="A132" s="117"/>
      <c r="B132" s="117"/>
      <c r="C132" s="117"/>
    </row>
    <row r="133" spans="1:3" x14ac:dyDescent="0.2">
      <c r="A133" s="117"/>
      <c r="B133" s="117"/>
      <c r="C133" s="117"/>
    </row>
    <row r="134" spans="1:3" x14ac:dyDescent="0.2">
      <c r="A134" s="117"/>
      <c r="B134" s="117"/>
      <c r="C134" s="117"/>
    </row>
    <row r="135" spans="1:3" x14ac:dyDescent="0.2">
      <c r="A135" s="117"/>
      <c r="B135" s="117"/>
      <c r="C135" s="117"/>
    </row>
    <row r="136" spans="1:3" x14ac:dyDescent="0.2">
      <c r="A136" s="117"/>
      <c r="B136" s="117"/>
      <c r="C136" s="117"/>
    </row>
    <row r="137" spans="1:3" x14ac:dyDescent="0.2">
      <c r="A137" s="117"/>
      <c r="B137" s="117"/>
      <c r="C137" s="117"/>
    </row>
    <row r="138" spans="1:3" x14ac:dyDescent="0.2">
      <c r="A138" s="117"/>
      <c r="B138" s="117"/>
      <c r="C138" s="117"/>
    </row>
    <row r="139" spans="1:3" x14ac:dyDescent="0.2">
      <c r="A139" s="117"/>
      <c r="B139" s="117"/>
      <c r="C139" s="117"/>
    </row>
    <row r="140" spans="1:3" x14ac:dyDescent="0.2">
      <c r="A140" s="117"/>
      <c r="B140" s="117"/>
      <c r="C140" s="117"/>
    </row>
    <row r="141" spans="1:3" x14ac:dyDescent="0.2">
      <c r="A141" s="117"/>
      <c r="B141" s="117"/>
      <c r="C141" s="117"/>
    </row>
    <row r="142" spans="1:3" x14ac:dyDescent="0.2">
      <c r="A142" s="117"/>
      <c r="B142" s="117"/>
      <c r="C142" s="117"/>
    </row>
    <row r="143" spans="1:3" x14ac:dyDescent="0.2">
      <c r="A143" s="117"/>
      <c r="B143" s="117"/>
      <c r="C143" s="117"/>
    </row>
    <row r="144" spans="1:3" x14ac:dyDescent="0.2">
      <c r="A144" s="117"/>
      <c r="B144" s="117"/>
      <c r="C144" s="117"/>
    </row>
    <row r="145" spans="1:3" x14ac:dyDescent="0.2">
      <c r="A145" s="117"/>
      <c r="B145" s="117"/>
      <c r="C145" s="117"/>
    </row>
    <row r="146" spans="1:3" x14ac:dyDescent="0.2">
      <c r="A146" s="117"/>
      <c r="B146" s="117"/>
      <c r="C146" s="117"/>
    </row>
    <row r="147" spans="1:3" x14ac:dyDescent="0.2">
      <c r="A147" s="117"/>
      <c r="B147" s="117"/>
      <c r="C147" s="117"/>
    </row>
    <row r="148" spans="1:3" x14ac:dyDescent="0.2">
      <c r="A148" s="117"/>
      <c r="B148" s="117"/>
      <c r="C148" s="117"/>
    </row>
    <row r="149" spans="1:3" x14ac:dyDescent="0.2">
      <c r="A149" s="117"/>
      <c r="B149" s="117"/>
      <c r="C149" s="117"/>
    </row>
    <row r="150" spans="1:3" x14ac:dyDescent="0.2">
      <c r="A150" s="117"/>
      <c r="B150" s="117"/>
      <c r="C150" s="117"/>
    </row>
    <row r="151" spans="1:3" x14ac:dyDescent="0.2">
      <c r="A151" s="117"/>
      <c r="B151" s="117"/>
      <c r="C151" s="117"/>
    </row>
    <row r="152" spans="1:3" x14ac:dyDescent="0.2">
      <c r="A152" s="117"/>
      <c r="B152" s="117"/>
      <c r="C152" s="117"/>
    </row>
    <row r="153" spans="1:3" x14ac:dyDescent="0.2">
      <c r="A153" s="117"/>
      <c r="B153" s="117"/>
      <c r="C153" s="117"/>
    </row>
    <row r="154" spans="1:3" x14ac:dyDescent="0.2">
      <c r="A154" s="117"/>
      <c r="B154" s="117"/>
      <c r="C154" s="117"/>
    </row>
    <row r="155" spans="1:3" x14ac:dyDescent="0.2">
      <c r="A155" s="117"/>
      <c r="B155" s="117"/>
      <c r="C155" s="117"/>
    </row>
    <row r="156" spans="1:3" x14ac:dyDescent="0.2">
      <c r="A156" s="117"/>
      <c r="B156" s="117"/>
      <c r="C156" s="117"/>
    </row>
    <row r="157" spans="1:3" x14ac:dyDescent="0.2">
      <c r="A157" s="117"/>
      <c r="B157" s="117"/>
      <c r="C157" s="117"/>
    </row>
    <row r="158" spans="1:3" x14ac:dyDescent="0.2">
      <c r="A158" s="117"/>
      <c r="B158" s="117"/>
      <c r="C158" s="117"/>
    </row>
    <row r="159" spans="1:3" x14ac:dyDescent="0.2">
      <c r="A159" s="117"/>
      <c r="B159" s="117"/>
      <c r="C159" s="117"/>
    </row>
    <row r="160" spans="1:3" x14ac:dyDescent="0.2">
      <c r="A160" s="117"/>
      <c r="B160" s="117"/>
      <c r="C160" s="117"/>
    </row>
    <row r="161" spans="1:3" x14ac:dyDescent="0.2">
      <c r="A161" s="117"/>
      <c r="B161" s="117"/>
      <c r="C161" s="117"/>
    </row>
    <row r="162" spans="1:3" x14ac:dyDescent="0.2">
      <c r="A162" s="117"/>
      <c r="B162" s="117"/>
      <c r="C162" s="117"/>
    </row>
    <row r="163" spans="1:3" x14ac:dyDescent="0.2">
      <c r="A163" s="117"/>
      <c r="B163" s="117"/>
      <c r="C163" s="117"/>
    </row>
    <row r="164" spans="1:3" x14ac:dyDescent="0.2">
      <c r="A164" s="117"/>
      <c r="B164" s="117"/>
      <c r="C164" s="117"/>
    </row>
    <row r="165" spans="1:3" x14ac:dyDescent="0.2">
      <c r="A165" s="117"/>
      <c r="B165" s="117"/>
      <c r="C165" s="117"/>
    </row>
    <row r="166" spans="1:3" x14ac:dyDescent="0.2">
      <c r="A166" s="117"/>
      <c r="B166" s="117"/>
      <c r="C166" s="117"/>
    </row>
    <row r="167" spans="1:3" x14ac:dyDescent="0.2">
      <c r="A167" s="117"/>
      <c r="B167" s="117"/>
      <c r="C167" s="117"/>
    </row>
    <row r="168" spans="1:3" x14ac:dyDescent="0.2">
      <c r="A168" s="117"/>
      <c r="B168" s="117"/>
      <c r="C168" s="117"/>
    </row>
    <row r="169" spans="1:3" x14ac:dyDescent="0.2">
      <c r="A169" s="117"/>
      <c r="B169" s="117"/>
      <c r="C169" s="117"/>
    </row>
    <row r="170" spans="1:3" x14ac:dyDescent="0.2">
      <c r="A170" s="117"/>
      <c r="B170" s="117"/>
      <c r="C170" s="117"/>
    </row>
    <row r="171" spans="1:3" x14ac:dyDescent="0.2">
      <c r="A171" s="117"/>
      <c r="B171" s="117"/>
      <c r="C171" s="117"/>
    </row>
    <row r="172" spans="1:3" x14ac:dyDescent="0.2">
      <c r="A172" s="117"/>
      <c r="B172" s="117"/>
      <c r="C172" s="117"/>
    </row>
    <row r="173" spans="1:3" x14ac:dyDescent="0.2">
      <c r="A173" s="117"/>
      <c r="B173" s="117"/>
      <c r="C173" s="117"/>
    </row>
    <row r="174" spans="1:3" x14ac:dyDescent="0.2">
      <c r="A174" s="117"/>
      <c r="B174" s="117"/>
      <c r="C174" s="117"/>
    </row>
    <row r="175" spans="1:3" x14ac:dyDescent="0.2">
      <c r="A175" s="117"/>
      <c r="B175" s="117"/>
      <c r="C175" s="117"/>
    </row>
    <row r="176" spans="1:3" x14ac:dyDescent="0.2">
      <c r="A176" s="117"/>
      <c r="B176" s="117"/>
      <c r="C176" s="117"/>
    </row>
    <row r="177" spans="1:3" x14ac:dyDescent="0.2">
      <c r="A177" s="117"/>
      <c r="B177" s="117"/>
      <c r="C177" s="117"/>
    </row>
    <row r="178" spans="1:3" x14ac:dyDescent="0.2">
      <c r="A178" s="117"/>
      <c r="B178" s="117"/>
      <c r="C178" s="117"/>
    </row>
    <row r="179" spans="1:3" x14ac:dyDescent="0.2">
      <c r="A179" s="117"/>
      <c r="B179" s="117"/>
      <c r="C179" s="117"/>
    </row>
    <row r="180" spans="1:3" x14ac:dyDescent="0.2">
      <c r="A180" s="117"/>
      <c r="B180" s="117"/>
      <c r="C180" s="117"/>
    </row>
    <row r="181" spans="1:3" x14ac:dyDescent="0.2">
      <c r="A181" s="117"/>
      <c r="B181" s="117"/>
      <c r="C181" s="117"/>
    </row>
    <row r="182" spans="1:3" x14ac:dyDescent="0.2">
      <c r="A182" s="117"/>
      <c r="B182" s="117"/>
      <c r="C182" s="117"/>
    </row>
    <row r="183" spans="1:3" x14ac:dyDescent="0.2">
      <c r="A183" s="117"/>
      <c r="B183" s="117"/>
      <c r="C183" s="117"/>
    </row>
    <row r="184" spans="1:3" x14ac:dyDescent="0.2">
      <c r="A184" s="117"/>
      <c r="B184" s="117"/>
      <c r="C184" s="117"/>
    </row>
    <row r="185" spans="1:3" x14ac:dyDescent="0.2">
      <c r="A185" s="117"/>
      <c r="B185" s="117"/>
      <c r="C185" s="117"/>
    </row>
    <row r="186" spans="1:3" x14ac:dyDescent="0.2">
      <c r="A186" s="117"/>
      <c r="B186" s="117"/>
      <c r="C186" s="117"/>
    </row>
    <row r="187" spans="1:3" x14ac:dyDescent="0.2">
      <c r="A187" s="117"/>
      <c r="B187" s="117"/>
      <c r="C187" s="117"/>
    </row>
    <row r="188" spans="1:3" x14ac:dyDescent="0.2">
      <c r="A188" s="117"/>
      <c r="B188" s="117"/>
      <c r="C188" s="117"/>
    </row>
    <row r="189" spans="1:3" x14ac:dyDescent="0.2">
      <c r="A189" s="117"/>
      <c r="B189" s="117"/>
      <c r="C189" s="117"/>
    </row>
    <row r="190" spans="1:3" x14ac:dyDescent="0.2">
      <c r="A190" s="117"/>
      <c r="B190" s="117"/>
      <c r="C190" s="117"/>
    </row>
    <row r="191" spans="1:3" x14ac:dyDescent="0.2">
      <c r="A191" s="117"/>
      <c r="B191" s="117"/>
      <c r="C191" s="117"/>
    </row>
    <row r="192" spans="1:3" x14ac:dyDescent="0.2">
      <c r="A192" s="117"/>
      <c r="B192" s="117"/>
      <c r="C192" s="117"/>
    </row>
    <row r="193" spans="1:3" x14ac:dyDescent="0.2">
      <c r="A193" s="117"/>
      <c r="B193" s="117"/>
      <c r="C193" s="117"/>
    </row>
    <row r="194" spans="1:3" x14ac:dyDescent="0.2">
      <c r="A194" s="117"/>
      <c r="B194" s="117"/>
      <c r="C194" s="117"/>
    </row>
    <row r="195" spans="1:3" x14ac:dyDescent="0.2">
      <c r="A195" s="117"/>
      <c r="B195" s="117"/>
      <c r="C195" s="117"/>
    </row>
    <row r="196" spans="1:3" x14ac:dyDescent="0.2">
      <c r="A196" s="117"/>
      <c r="B196" s="117"/>
      <c r="C196" s="117"/>
    </row>
    <row r="197" spans="1:3" x14ac:dyDescent="0.2">
      <c r="A197" s="117"/>
      <c r="B197" s="117"/>
      <c r="C197" s="117"/>
    </row>
    <row r="198" spans="1:3" x14ac:dyDescent="0.2">
      <c r="A198" s="117"/>
      <c r="B198" s="117"/>
      <c r="C198" s="117"/>
    </row>
    <row r="199" spans="1:3" x14ac:dyDescent="0.2">
      <c r="A199" s="117"/>
      <c r="B199" s="117"/>
      <c r="C199" s="117"/>
    </row>
    <row r="200" spans="1:3" x14ac:dyDescent="0.2">
      <c r="A200" s="117"/>
      <c r="B200" s="117"/>
      <c r="C200" s="117"/>
    </row>
    <row r="201" spans="1:3" x14ac:dyDescent="0.2">
      <c r="A201" s="117"/>
      <c r="B201" s="117"/>
      <c r="C201" s="117"/>
    </row>
    <row r="202" spans="1:3" x14ac:dyDescent="0.2">
      <c r="A202" s="117"/>
      <c r="B202" s="117"/>
      <c r="C202" s="117"/>
    </row>
    <row r="203" spans="1:3" x14ac:dyDescent="0.2">
      <c r="A203" s="117"/>
      <c r="B203" s="117"/>
      <c r="C203" s="117"/>
    </row>
    <row r="204" spans="1:3" x14ac:dyDescent="0.2">
      <c r="A204" s="117"/>
      <c r="B204" s="117"/>
      <c r="C204" s="117"/>
    </row>
    <row r="205" spans="1:3" x14ac:dyDescent="0.2">
      <c r="A205" s="117"/>
      <c r="B205" s="117"/>
      <c r="C205" s="117"/>
    </row>
    <row r="206" spans="1:3" x14ac:dyDescent="0.2">
      <c r="A206" s="117"/>
      <c r="B206" s="117"/>
      <c r="C206" s="117"/>
    </row>
    <row r="207" spans="1:3" x14ac:dyDescent="0.2">
      <c r="A207" s="117"/>
      <c r="B207" s="117"/>
      <c r="C207" s="117"/>
    </row>
    <row r="208" spans="1:3" x14ac:dyDescent="0.2">
      <c r="A208" s="117"/>
      <c r="B208" s="117"/>
      <c r="C208" s="117"/>
    </row>
    <row r="209" spans="1:3" x14ac:dyDescent="0.2">
      <c r="A209" s="117"/>
      <c r="B209" s="117"/>
      <c r="C209" s="117"/>
    </row>
    <row r="210" spans="1:3" x14ac:dyDescent="0.2">
      <c r="A210" s="117"/>
      <c r="B210" s="117"/>
      <c r="C210" s="117"/>
    </row>
    <row r="211" spans="1:3" x14ac:dyDescent="0.2">
      <c r="A211" s="117"/>
      <c r="B211" s="117"/>
      <c r="C211" s="117"/>
    </row>
    <row r="212" spans="1:3" x14ac:dyDescent="0.2">
      <c r="A212" s="117"/>
      <c r="B212" s="117"/>
      <c r="C212" s="117"/>
    </row>
    <row r="213" spans="1:3" x14ac:dyDescent="0.2">
      <c r="A213" s="117"/>
      <c r="B213" s="117"/>
      <c r="C213" s="117"/>
    </row>
    <row r="214" spans="1:3" x14ac:dyDescent="0.2">
      <c r="A214" s="117"/>
      <c r="B214" s="117"/>
      <c r="C214" s="117"/>
    </row>
    <row r="215" spans="1:3" x14ac:dyDescent="0.2">
      <c r="A215" s="117"/>
      <c r="B215" s="117"/>
      <c r="C215" s="117"/>
    </row>
    <row r="216" spans="1:3" x14ac:dyDescent="0.2">
      <c r="A216" s="117"/>
      <c r="B216" s="117"/>
      <c r="C216" s="117"/>
    </row>
    <row r="217" spans="1:3" x14ac:dyDescent="0.2">
      <c r="A217" s="117"/>
      <c r="B217" s="117"/>
      <c r="C217" s="117"/>
    </row>
    <row r="218" spans="1:3" x14ac:dyDescent="0.2">
      <c r="A218" s="117"/>
      <c r="B218" s="117"/>
      <c r="C218" s="117"/>
    </row>
    <row r="219" spans="1:3" x14ac:dyDescent="0.2">
      <c r="A219" s="117"/>
      <c r="B219" s="117"/>
      <c r="C219" s="117"/>
    </row>
    <row r="220" spans="1:3" x14ac:dyDescent="0.2">
      <c r="A220" s="117"/>
      <c r="B220" s="117"/>
      <c r="C220" s="117"/>
    </row>
    <row r="221" spans="1:3" x14ac:dyDescent="0.2">
      <c r="A221" s="117"/>
      <c r="B221" s="117"/>
      <c r="C221" s="117"/>
    </row>
    <row r="222" spans="1:3" x14ac:dyDescent="0.2">
      <c r="A222" s="117"/>
      <c r="B222" s="117"/>
      <c r="C222" s="117"/>
    </row>
    <row r="223" spans="1:3" x14ac:dyDescent="0.2">
      <c r="A223" s="117"/>
      <c r="B223" s="117"/>
      <c r="C223" s="117"/>
    </row>
    <row r="224" spans="1:3" x14ac:dyDescent="0.2">
      <c r="A224" s="117"/>
      <c r="B224" s="117"/>
      <c r="C224" s="117"/>
    </row>
    <row r="225" spans="1:3" x14ac:dyDescent="0.2">
      <c r="A225" s="117"/>
      <c r="B225" s="117"/>
      <c r="C225" s="117"/>
    </row>
    <row r="226" spans="1:3" x14ac:dyDescent="0.2">
      <c r="A226" s="117"/>
      <c r="B226" s="117"/>
      <c r="C226" s="117"/>
    </row>
    <row r="227" spans="1:3" x14ac:dyDescent="0.2">
      <c r="A227" s="117"/>
      <c r="B227" s="117"/>
      <c r="C227" s="117"/>
    </row>
    <row r="228" spans="1:3" x14ac:dyDescent="0.2">
      <c r="A228" s="117"/>
      <c r="B228" s="117"/>
      <c r="C228" s="117"/>
    </row>
    <row r="229" spans="1:3" x14ac:dyDescent="0.2">
      <c r="A229" s="117"/>
      <c r="B229" s="117"/>
      <c r="C229" s="117"/>
    </row>
    <row r="230" spans="1:3" x14ac:dyDescent="0.2">
      <c r="A230" s="117"/>
      <c r="B230" s="117"/>
      <c r="C230" s="117"/>
    </row>
    <row r="231" spans="1:3" x14ac:dyDescent="0.2">
      <c r="A231" s="117"/>
      <c r="B231" s="117"/>
      <c r="C231" s="117"/>
    </row>
    <row r="232" spans="1:3" x14ac:dyDescent="0.2">
      <c r="A232" s="117"/>
      <c r="B232" s="117"/>
      <c r="C232" s="117"/>
    </row>
    <row r="233" spans="1:3" x14ac:dyDescent="0.2">
      <c r="A233" s="117"/>
      <c r="B233" s="117"/>
      <c r="C233" s="117"/>
    </row>
    <row r="234" spans="1:3" x14ac:dyDescent="0.2">
      <c r="A234" s="117"/>
      <c r="B234" s="117"/>
      <c r="C234" s="117"/>
    </row>
    <row r="235" spans="1:3" x14ac:dyDescent="0.2">
      <c r="A235" s="117"/>
      <c r="B235" s="117"/>
      <c r="C235" s="117"/>
    </row>
    <row r="236" spans="1:3" x14ac:dyDescent="0.2">
      <c r="A236" s="117"/>
      <c r="B236" s="117"/>
      <c r="C236" s="117"/>
    </row>
    <row r="237" spans="1:3" x14ac:dyDescent="0.2">
      <c r="A237" s="117"/>
      <c r="B237" s="117"/>
      <c r="C237" s="117"/>
    </row>
    <row r="238" spans="1:3" x14ac:dyDescent="0.2">
      <c r="A238" s="117"/>
      <c r="B238" s="117"/>
      <c r="C238" s="117"/>
    </row>
    <row r="239" spans="1:3" x14ac:dyDescent="0.2">
      <c r="A239" s="117"/>
      <c r="B239" s="117"/>
      <c r="C239" s="117"/>
    </row>
    <row r="240" spans="1:3" x14ac:dyDescent="0.2">
      <c r="A240" s="117"/>
      <c r="B240" s="117"/>
      <c r="C240" s="117"/>
    </row>
    <row r="241" spans="1:3" x14ac:dyDescent="0.2">
      <c r="A241" s="117"/>
      <c r="B241" s="117"/>
      <c r="C241" s="117"/>
    </row>
    <row r="242" spans="1:3" x14ac:dyDescent="0.2">
      <c r="A242" s="117"/>
      <c r="B242" s="117"/>
      <c r="C242" s="117"/>
    </row>
    <row r="243" spans="1:3" x14ac:dyDescent="0.2">
      <c r="A243" s="117"/>
      <c r="B243" s="117"/>
      <c r="C243" s="117"/>
    </row>
    <row r="244" spans="1:3" x14ac:dyDescent="0.2">
      <c r="A244" s="117"/>
      <c r="B244" s="117"/>
      <c r="C244" s="117"/>
    </row>
    <row r="245" spans="1:3" x14ac:dyDescent="0.2">
      <c r="A245" s="117"/>
      <c r="B245" s="117"/>
      <c r="C245" s="117"/>
    </row>
    <row r="246" spans="1:3" x14ac:dyDescent="0.2">
      <c r="A246" s="117"/>
      <c r="B246" s="117"/>
      <c r="C246" s="117"/>
    </row>
    <row r="247" spans="1:3" x14ac:dyDescent="0.2">
      <c r="A247" s="117"/>
      <c r="B247" s="117"/>
      <c r="C247" s="117"/>
    </row>
    <row r="248" spans="1:3" x14ac:dyDescent="0.2">
      <c r="A248" s="117"/>
      <c r="B248" s="117"/>
      <c r="C248" s="117"/>
    </row>
    <row r="249" spans="1:3" x14ac:dyDescent="0.2">
      <c r="A249" s="117"/>
      <c r="B249" s="117"/>
      <c r="C249" s="117"/>
    </row>
    <row r="250" spans="1:3" x14ac:dyDescent="0.2">
      <c r="A250" s="117"/>
      <c r="B250" s="117"/>
      <c r="C250" s="117"/>
    </row>
    <row r="251" spans="1:3" x14ac:dyDescent="0.2">
      <c r="A251" s="117"/>
      <c r="B251" s="117"/>
      <c r="C251" s="117"/>
    </row>
    <row r="252" spans="1:3" x14ac:dyDescent="0.2">
      <c r="C252" s="117"/>
    </row>
    <row r="253" spans="1:3" x14ac:dyDescent="0.2">
      <c r="C253" s="117"/>
    </row>
    <row r="254" spans="1:3" x14ac:dyDescent="0.2">
      <c r="C254" s="117"/>
    </row>
    <row r="255" spans="1:3" x14ac:dyDescent="0.2">
      <c r="C255" s="117"/>
    </row>
    <row r="256" spans="1:3" x14ac:dyDescent="0.2">
      <c r="C256" s="117"/>
    </row>
    <row r="257" spans="3:3" x14ac:dyDescent="0.2">
      <c r="C257" s="117"/>
    </row>
    <row r="258" spans="3:3" x14ac:dyDescent="0.2">
      <c r="C258" s="117"/>
    </row>
    <row r="259" spans="3:3" x14ac:dyDescent="0.2">
      <c r="C259" s="117"/>
    </row>
    <row r="260" spans="3:3" x14ac:dyDescent="0.2">
      <c r="C260" s="117"/>
    </row>
    <row r="261" spans="3:3" x14ac:dyDescent="0.2">
      <c r="C261" s="117"/>
    </row>
    <row r="262" spans="3:3" x14ac:dyDescent="0.2">
      <c r="C262" s="117"/>
    </row>
    <row r="263" spans="3:3" x14ac:dyDescent="0.2">
      <c r="C263" s="117"/>
    </row>
    <row r="264" spans="3:3" x14ac:dyDescent="0.2">
      <c r="C264" s="117"/>
    </row>
    <row r="265" spans="3:3" x14ac:dyDescent="0.2">
      <c r="C265" s="117"/>
    </row>
    <row r="266" spans="3:3" x14ac:dyDescent="0.2">
      <c r="C266" s="117"/>
    </row>
    <row r="267" spans="3:3" x14ac:dyDescent="0.2">
      <c r="C267" s="117"/>
    </row>
    <row r="268" spans="3:3" x14ac:dyDescent="0.2">
      <c r="C268" s="117"/>
    </row>
    <row r="269" spans="3:3" x14ac:dyDescent="0.2">
      <c r="C269" s="117"/>
    </row>
    <row r="270" spans="3:3" x14ac:dyDescent="0.2">
      <c r="C270" s="117"/>
    </row>
    <row r="271" spans="3:3" x14ac:dyDescent="0.2">
      <c r="C271" s="117"/>
    </row>
  </sheetData>
  <mergeCells count="4">
    <mergeCell ref="A5:D5"/>
    <mergeCell ref="A6:B6"/>
    <mergeCell ref="C6:D6"/>
    <mergeCell ref="D27:E27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7410" r:id="rId4">
          <objectPr defaultSize="0" autoPict="0" r:id="rId5">
            <anchor moveWithCells="1" sizeWithCells="1">
              <from>
                <xdr:col>5</xdr:col>
                <xdr:colOff>19050</xdr:colOff>
                <xdr:row>4</xdr:row>
                <xdr:rowOff>47625</xdr:rowOff>
              </from>
              <to>
                <xdr:col>8</xdr:col>
                <xdr:colOff>752475</xdr:colOff>
                <xdr:row>7</xdr:row>
                <xdr:rowOff>161925</xdr:rowOff>
              </to>
            </anchor>
          </objectPr>
        </oleObject>
      </mc:Choice>
      <mc:Fallback>
        <oleObject progId="Equation.DSMT4" shapeId="17410" r:id="rId4"/>
      </mc:Fallback>
    </mc:AlternateContent>
    <mc:AlternateContent xmlns:mc="http://schemas.openxmlformats.org/markup-compatibility/2006">
      <mc:Choice Requires="x14">
        <oleObject progId="Equation.DSMT4" shapeId="17412" r:id="rId6">
          <objectPr defaultSize="0" autoPict="0" r:id="rId7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2</xdr:col>
                <xdr:colOff>438150</xdr:colOff>
                <xdr:row>26</xdr:row>
                <xdr:rowOff>85725</xdr:rowOff>
              </to>
            </anchor>
          </objectPr>
        </oleObject>
      </mc:Choice>
      <mc:Fallback>
        <oleObject progId="Equation.DSMT4" shapeId="17412" r:id="rId6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zoomScale="130" zoomScaleNormal="130" workbookViewId="0">
      <selection activeCell="F35" sqref="F35"/>
    </sheetView>
  </sheetViews>
  <sheetFormatPr defaultRowHeight="15" x14ac:dyDescent="0.2"/>
  <cols>
    <col min="2" max="4" width="8.88671875" style="132"/>
  </cols>
  <sheetData>
    <row r="1" spans="1:18" ht="15.75" x14ac:dyDescent="0.25">
      <c r="A1" s="131" t="s">
        <v>228</v>
      </c>
      <c r="B1" s="124"/>
      <c r="C1" s="124"/>
      <c r="D1" s="124"/>
      <c r="E1" s="124"/>
      <c r="F1" s="124"/>
      <c r="G1" s="133"/>
    </row>
    <row r="2" spans="1:18" ht="15.75" x14ac:dyDescent="0.25">
      <c r="A2" s="131" t="s">
        <v>229</v>
      </c>
      <c r="B2" s="124"/>
      <c r="C2" s="124"/>
      <c r="D2" s="124"/>
      <c r="E2" s="124"/>
      <c r="F2" s="124"/>
      <c r="G2" s="133"/>
    </row>
    <row r="3" spans="1:18" x14ac:dyDescent="0.2">
      <c r="A3" s="124" t="s">
        <v>112</v>
      </c>
      <c r="B3" s="124"/>
      <c r="C3" s="124"/>
      <c r="D3" s="124"/>
      <c r="E3" s="124"/>
      <c r="F3" s="124"/>
      <c r="G3" s="133"/>
    </row>
    <row r="5" spans="1:18" ht="16.5" thickBot="1" x14ac:dyDescent="0.3">
      <c r="I5" s="1" t="s">
        <v>198</v>
      </c>
    </row>
    <row r="6" spans="1:18" ht="15.75" thickBot="1" x14ac:dyDescent="0.25">
      <c r="D6" s="339" t="s">
        <v>224</v>
      </c>
      <c r="E6" s="339"/>
      <c r="F6" s="339"/>
      <c r="G6" s="339"/>
      <c r="I6" s="25"/>
      <c r="J6" s="26"/>
      <c r="K6" s="26"/>
      <c r="L6" s="27"/>
    </row>
    <row r="7" spans="1:18" ht="16.5" thickBot="1" x14ac:dyDescent="0.3">
      <c r="B7" s="138"/>
      <c r="D7" s="329" t="s">
        <v>225</v>
      </c>
      <c r="E7" s="330"/>
      <c r="F7" s="329" t="s">
        <v>226</v>
      </c>
      <c r="G7" s="330"/>
      <c r="I7" s="28"/>
      <c r="J7" s="29"/>
      <c r="K7" s="29"/>
      <c r="L7" s="30"/>
    </row>
    <row r="8" spans="1:18" ht="15.75" x14ac:dyDescent="0.25">
      <c r="B8" s="138"/>
      <c r="D8" s="126" t="s">
        <v>208</v>
      </c>
      <c r="E8" s="155">
        <v>18.079999999999998</v>
      </c>
      <c r="F8" s="126" t="s">
        <v>208</v>
      </c>
      <c r="G8" s="156">
        <v>18.809999999999999</v>
      </c>
      <c r="I8" s="28"/>
      <c r="J8" s="29"/>
      <c r="K8" s="29"/>
      <c r="L8" s="30"/>
    </row>
    <row r="9" spans="1:18" ht="15.75" x14ac:dyDescent="0.25">
      <c r="B9" s="138"/>
      <c r="D9" s="128" t="s">
        <v>209</v>
      </c>
      <c r="E9" s="150">
        <v>3.32</v>
      </c>
      <c r="F9" s="128" t="s">
        <v>209</v>
      </c>
      <c r="G9" s="154">
        <v>4.08</v>
      </c>
      <c r="H9" s="132"/>
      <c r="I9" s="28"/>
      <c r="J9" s="29"/>
      <c r="K9" s="29"/>
      <c r="L9" s="30"/>
    </row>
    <row r="10" spans="1:18" ht="15.75" x14ac:dyDescent="0.25">
      <c r="B10" s="138"/>
      <c r="D10" s="128" t="s">
        <v>137</v>
      </c>
      <c r="E10" s="151">
        <v>10</v>
      </c>
      <c r="F10" s="128" t="s">
        <v>137</v>
      </c>
      <c r="G10" s="48">
        <v>8</v>
      </c>
      <c r="I10" s="28"/>
      <c r="J10" s="29"/>
      <c r="K10" s="29"/>
      <c r="L10" s="30"/>
    </row>
    <row r="11" spans="1:18" ht="16.5" thickBot="1" x14ac:dyDescent="0.3">
      <c r="B11" s="138"/>
      <c r="D11" s="40" t="s">
        <v>214</v>
      </c>
      <c r="E11" s="160">
        <f>E10-1</f>
        <v>9</v>
      </c>
      <c r="F11" s="40" t="s">
        <v>214</v>
      </c>
      <c r="G11" s="161">
        <f>G10-1</f>
        <v>7</v>
      </c>
      <c r="H11" s="132"/>
      <c r="I11" s="28"/>
      <c r="J11" s="29"/>
      <c r="K11" s="29"/>
      <c r="L11" s="30"/>
    </row>
    <row r="12" spans="1:18" ht="15.75" thickBot="1" x14ac:dyDescent="0.25">
      <c r="B12"/>
      <c r="C12"/>
      <c r="D12"/>
      <c r="G12" s="132"/>
      <c r="H12" s="132"/>
      <c r="I12" s="28"/>
      <c r="J12" s="29"/>
      <c r="K12" s="29"/>
      <c r="L12" s="30"/>
    </row>
    <row r="13" spans="1:18" ht="16.5" thickBot="1" x14ac:dyDescent="0.3">
      <c r="A13" s="142"/>
      <c r="B13" s="148" t="s">
        <v>230</v>
      </c>
      <c r="C13" s="146"/>
      <c r="D13" s="62"/>
      <c r="E13" s="1" t="s">
        <v>231</v>
      </c>
      <c r="G13" s="132"/>
      <c r="H13" s="132"/>
      <c r="I13" s="28"/>
      <c r="J13" s="29"/>
      <c r="K13" s="29"/>
      <c r="L13" s="30"/>
    </row>
    <row r="14" spans="1:18" ht="16.5" thickBot="1" x14ac:dyDescent="0.3">
      <c r="A14" s="142"/>
      <c r="B14" s="149" t="s">
        <v>214</v>
      </c>
      <c r="C14" s="209">
        <f>F35</f>
        <v>13.445792347399514</v>
      </c>
      <c r="D14" s="62"/>
      <c r="E14" s="25"/>
      <c r="F14" s="27"/>
      <c r="G14" s="132"/>
      <c r="H14" s="132"/>
      <c r="I14" s="31"/>
      <c r="J14" s="24"/>
      <c r="K14" s="24"/>
      <c r="L14" s="32"/>
    </row>
    <row r="15" spans="1:18" ht="15.75" x14ac:dyDescent="0.25">
      <c r="A15" s="29"/>
      <c r="B15" s="336"/>
      <c r="C15" s="336"/>
      <c r="D15" s="62"/>
      <c r="E15" s="337">
        <f>(($E$8-$G$8)-B18)/SQRT($E$9^2/$E$10+$G$9^2/$G$10)</f>
        <v>-0.68942029402361071</v>
      </c>
      <c r="F15" s="338"/>
      <c r="G15" s="132"/>
      <c r="H15" s="132"/>
    </row>
    <row r="16" spans="1:18" ht="15.75" thickBot="1" x14ac:dyDescent="0.25">
      <c r="A16" s="115"/>
      <c r="B16" s="336"/>
      <c r="C16" s="336"/>
      <c r="D16" s="120"/>
      <c r="E16" s="147"/>
      <c r="F16" s="143"/>
      <c r="G16" s="120"/>
      <c r="H16" s="120"/>
      <c r="N16" s="29"/>
      <c r="O16" s="29"/>
      <c r="P16" s="29"/>
      <c r="Q16" s="29"/>
      <c r="R16" s="29"/>
    </row>
    <row r="17" spans="1:18" ht="15.75" thickBot="1" x14ac:dyDescent="0.25">
      <c r="A17" s="115"/>
      <c r="B17" s="120"/>
      <c r="C17" s="120"/>
      <c r="D17" s="120"/>
      <c r="E17" s="115"/>
      <c r="F17" s="115"/>
      <c r="G17" s="115"/>
      <c r="H17" s="115"/>
      <c r="N17" s="29"/>
      <c r="O17" s="29"/>
      <c r="P17" s="29"/>
      <c r="Q17" s="29"/>
      <c r="R17" s="29"/>
    </row>
    <row r="18" spans="1:18" ht="19.5" thickBot="1" x14ac:dyDescent="0.4">
      <c r="B18" s="181">
        <v>0.5</v>
      </c>
      <c r="C18" s="159" t="s">
        <v>253</v>
      </c>
      <c r="H18" s="145"/>
      <c r="N18" s="29"/>
      <c r="O18" s="29"/>
      <c r="P18" s="29"/>
      <c r="Q18" s="29"/>
      <c r="R18" s="29"/>
    </row>
    <row r="19" spans="1:18" ht="16.5" thickBot="1" x14ac:dyDescent="0.3">
      <c r="A19" s="115"/>
      <c r="B19" s="144"/>
      <c r="C19" s="120"/>
      <c r="D19" s="120"/>
      <c r="E19" s="145"/>
      <c r="F19" s="115"/>
      <c r="N19" s="29"/>
      <c r="O19" s="115"/>
      <c r="P19" s="115"/>
      <c r="Q19" s="29"/>
      <c r="R19" s="29"/>
    </row>
    <row r="20" spans="1:18" ht="16.5" thickBot="1" x14ac:dyDescent="0.3">
      <c r="A20" s="115"/>
      <c r="B20" s="54">
        <v>0.1</v>
      </c>
      <c r="C20" s="204" t="s">
        <v>80</v>
      </c>
      <c r="D20" s="120"/>
      <c r="E20" s="333" t="s">
        <v>239</v>
      </c>
      <c r="F20" s="334"/>
      <c r="G20" s="335"/>
      <c r="H20" s="1"/>
      <c r="N20" s="29"/>
      <c r="O20" s="115"/>
      <c r="P20" s="153"/>
      <c r="Q20" s="29"/>
      <c r="R20" s="29"/>
    </row>
    <row r="21" spans="1:18" x14ac:dyDescent="0.2">
      <c r="A21" s="115"/>
      <c r="B21" s="120"/>
      <c r="C21" s="120"/>
      <c r="D21" s="120"/>
      <c r="E21" s="118" t="s">
        <v>240</v>
      </c>
      <c r="F21" s="62" t="s">
        <v>241</v>
      </c>
      <c r="G21" s="162" t="s">
        <v>196</v>
      </c>
      <c r="N21" s="29"/>
      <c r="O21" s="115"/>
      <c r="P21" s="29"/>
      <c r="Q21" s="29"/>
      <c r="R21" s="29"/>
    </row>
    <row r="22" spans="1:18" ht="15.75" thickBot="1" x14ac:dyDescent="0.25">
      <c r="E22" s="211">
        <f>_xlfn.T.INV(B$20,C$14)</f>
        <v>-1.3501712887800554</v>
      </c>
      <c r="F22" s="210">
        <f>ABS(_xlfn.T.INV(B$20/2,C$14))</f>
        <v>1.7709333959868729</v>
      </c>
      <c r="G22" s="203">
        <f>ABS(_xlfn.T.INV(B$20,C$14))</f>
        <v>1.3501712887800554</v>
      </c>
      <c r="N22" s="29"/>
      <c r="O22" s="29"/>
      <c r="P22" s="29"/>
      <c r="Q22" s="29"/>
      <c r="R22" s="29"/>
    </row>
    <row r="23" spans="1:18" x14ac:dyDescent="0.2">
      <c r="N23" s="29"/>
      <c r="O23" s="29"/>
      <c r="P23" s="29"/>
      <c r="Q23" s="29"/>
      <c r="R23" s="29"/>
    </row>
    <row r="24" spans="1:18" x14ac:dyDescent="0.2">
      <c r="N24" s="29"/>
      <c r="O24" s="29"/>
      <c r="P24" s="29"/>
      <c r="Q24" s="29"/>
      <c r="R24" s="29"/>
    </row>
    <row r="25" spans="1:18" x14ac:dyDescent="0.2">
      <c r="N25" s="29"/>
      <c r="O25" s="29"/>
      <c r="P25" s="29"/>
      <c r="Q25" s="29"/>
      <c r="R25" s="29"/>
    </row>
    <row r="26" spans="1:18" ht="15.75" x14ac:dyDescent="0.25">
      <c r="B26" s="65" t="s">
        <v>244</v>
      </c>
      <c r="D26" s="43"/>
      <c r="N26" s="29"/>
      <c r="O26" s="29"/>
      <c r="P26" s="29"/>
      <c r="Q26" s="29"/>
      <c r="R26" s="29"/>
    </row>
    <row r="27" spans="1:18" x14ac:dyDescent="0.2">
      <c r="D27" s="69"/>
      <c r="N27" s="29"/>
      <c r="O27" s="29"/>
      <c r="P27" s="29"/>
      <c r="Q27" s="29"/>
      <c r="R27" s="29"/>
    </row>
    <row r="28" spans="1:18" ht="15.75" thickBot="1" x14ac:dyDescent="0.25">
      <c r="B28"/>
      <c r="D28" s="69"/>
      <c r="N28" s="29"/>
      <c r="O28" s="29"/>
      <c r="P28" s="29"/>
      <c r="Q28" s="29"/>
      <c r="R28" s="29"/>
    </row>
    <row r="29" spans="1:18" x14ac:dyDescent="0.2">
      <c r="D29" s="69"/>
      <c r="E29" s="25"/>
      <c r="F29" s="26">
        <f>(E9^2/E10+G9^2/G10)^2</f>
        <v>10.1317436416</v>
      </c>
      <c r="G29" s="27"/>
    </row>
    <row r="30" spans="1:18" ht="16.5" thickBot="1" x14ac:dyDescent="0.3">
      <c r="D30" s="205" t="s">
        <v>245</v>
      </c>
      <c r="E30" s="31"/>
      <c r="F30" s="24"/>
      <c r="G30" s="32"/>
    </row>
    <row r="31" spans="1:18" x14ac:dyDescent="0.2">
      <c r="E31" s="28"/>
      <c r="F31" s="29"/>
      <c r="G31" s="30"/>
    </row>
    <row r="32" spans="1:18" ht="15.75" thickBot="1" x14ac:dyDescent="0.25">
      <c r="E32" s="31">
        <f>(E9^2/E10)^2/E11</f>
        <v>0.13499255751111108</v>
      </c>
      <c r="F32" s="180" t="s">
        <v>246</v>
      </c>
      <c r="G32" s="32">
        <f>(G9^2/G10)^2/G11</f>
        <v>0.61853266285714281</v>
      </c>
    </row>
    <row r="34" spans="4:7" ht="15.75" thickBot="1" x14ac:dyDescent="0.25"/>
    <row r="35" spans="4:7" ht="16.5" thickBot="1" x14ac:dyDescent="0.3">
      <c r="D35" s="205" t="s">
        <v>245</v>
      </c>
      <c r="E35" s="206"/>
      <c r="F35" s="207">
        <f>F29/(E32+G32)</f>
        <v>13.445792347399514</v>
      </c>
      <c r="G35" s="208" t="s">
        <v>247</v>
      </c>
    </row>
  </sheetData>
  <mergeCells count="7">
    <mergeCell ref="E20:G20"/>
    <mergeCell ref="B16:C16"/>
    <mergeCell ref="B15:C15"/>
    <mergeCell ref="E15:F15"/>
    <mergeCell ref="D6:G6"/>
    <mergeCell ref="D7:E7"/>
    <mergeCell ref="F7:G7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8434" r:id="rId4">
          <objectPr defaultSize="0" autoPict="0" r:id="rId5">
            <anchor moveWithCells="1" sizeWithCells="1">
              <from>
                <xdr:col>8</xdr:col>
                <xdr:colOff>152400</xdr:colOff>
                <xdr:row>5</xdr:row>
                <xdr:rowOff>171450</xdr:rowOff>
              </from>
              <to>
                <xdr:col>11</xdr:col>
                <xdr:colOff>438150</xdr:colOff>
                <xdr:row>13</xdr:row>
                <xdr:rowOff>9525</xdr:rowOff>
              </to>
            </anchor>
          </objectPr>
        </oleObject>
      </mc:Choice>
      <mc:Fallback>
        <oleObject progId="Equation.DSMT4" shapeId="18434" r:id="rId4"/>
      </mc:Fallback>
    </mc:AlternateContent>
    <mc:AlternateContent xmlns:mc="http://schemas.openxmlformats.org/markup-compatibility/2006">
      <mc:Choice Requires="x14">
        <oleObject progId="Equation.DSMT4" shapeId="18437" r:id="rId6">
          <objectPr defaultSize="0" autoPict="0" r:id="rId7">
            <anchor moveWithCells="1" sizeWithCells="1">
              <from>
                <xdr:col>0</xdr:col>
                <xdr:colOff>762000</xdr:colOff>
                <xdr:row>27</xdr:row>
                <xdr:rowOff>0</xdr:rowOff>
              </from>
              <to>
                <xdr:col>3</xdr:col>
                <xdr:colOff>400050</xdr:colOff>
                <xdr:row>34</xdr:row>
                <xdr:rowOff>66675</xdr:rowOff>
              </to>
            </anchor>
          </objectPr>
        </oleObject>
      </mc:Choice>
      <mc:Fallback>
        <oleObject progId="Equation.DSMT4" shapeId="18437" r:id="rId6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topLeftCell="A4" zoomScale="140" zoomScaleNormal="140" workbookViewId="0">
      <selection activeCell="B18" sqref="B18"/>
    </sheetView>
  </sheetViews>
  <sheetFormatPr defaultRowHeight="15" x14ac:dyDescent="0.2"/>
  <cols>
    <col min="1" max="1" width="3.44140625" customWidth="1"/>
    <col min="2" max="2" width="13.6640625" style="192" customWidth="1"/>
    <col min="3" max="3" width="9.6640625" style="192" customWidth="1"/>
    <col min="4" max="4" width="13.88671875" style="192" customWidth="1"/>
    <col min="5" max="5" width="13" customWidth="1"/>
    <col min="7" max="7" width="2.88671875" customWidth="1"/>
    <col min="9" max="9" width="2.109375" customWidth="1"/>
  </cols>
  <sheetData>
    <row r="1" spans="1:16" ht="15.75" x14ac:dyDescent="0.25">
      <c r="A1" s="131" t="s">
        <v>243</v>
      </c>
      <c r="B1" s="124"/>
      <c r="C1" s="124"/>
      <c r="D1" s="124"/>
      <c r="E1" s="124"/>
      <c r="F1" s="124"/>
      <c r="G1" s="193"/>
    </row>
    <row r="2" spans="1:16" x14ac:dyDescent="0.2">
      <c r="A2" s="124" t="s">
        <v>112</v>
      </c>
      <c r="B2" s="124"/>
      <c r="C2" s="124"/>
      <c r="D2" s="124"/>
      <c r="E2" s="124"/>
      <c r="F2" s="124"/>
      <c r="G2" s="193"/>
    </row>
    <row r="4" spans="1:16" ht="16.5" thickBot="1" x14ac:dyDescent="0.3">
      <c r="A4" s="192"/>
      <c r="D4"/>
      <c r="G4" s="1" t="s">
        <v>198</v>
      </c>
    </row>
    <row r="5" spans="1:16" ht="15.75" thickBot="1" x14ac:dyDescent="0.25">
      <c r="A5" s="192"/>
      <c r="B5" s="223" t="s">
        <v>224</v>
      </c>
      <c r="C5" s="223"/>
      <c r="D5" s="223"/>
      <c r="E5" s="223"/>
      <c r="G5" s="25"/>
      <c r="H5" s="26"/>
      <c r="I5" s="26"/>
      <c r="J5" s="26"/>
      <c r="K5" s="26"/>
      <c r="L5" s="27"/>
    </row>
    <row r="6" spans="1:16" ht="16.5" thickBot="1" x14ac:dyDescent="0.3">
      <c r="A6" s="220"/>
      <c r="B6" s="224" t="s">
        <v>225</v>
      </c>
      <c r="C6" s="225"/>
      <c r="D6" s="224" t="s">
        <v>226</v>
      </c>
      <c r="E6" s="225"/>
      <c r="G6" s="28"/>
      <c r="I6" s="29"/>
      <c r="J6" s="29"/>
      <c r="K6" s="29"/>
      <c r="L6" s="30"/>
    </row>
    <row r="7" spans="1:16" ht="19.5" x14ac:dyDescent="0.35">
      <c r="A7" s="220"/>
      <c r="B7" s="196" t="s">
        <v>250</v>
      </c>
      <c r="C7" s="201">
        <v>795</v>
      </c>
      <c r="D7" s="196" t="s">
        <v>254</v>
      </c>
      <c r="E7" s="201">
        <v>586</v>
      </c>
      <c r="G7" s="28"/>
      <c r="H7" s="29"/>
      <c r="I7" s="29"/>
      <c r="J7" s="29"/>
      <c r="K7" s="29"/>
      <c r="L7" s="30"/>
    </row>
    <row r="8" spans="1:16" ht="19.5" x14ac:dyDescent="0.35">
      <c r="A8" s="220"/>
      <c r="B8" s="197" t="s">
        <v>252</v>
      </c>
      <c r="C8" s="202">
        <v>220</v>
      </c>
      <c r="D8" s="197" t="s">
        <v>255</v>
      </c>
      <c r="E8" s="202">
        <v>435</v>
      </c>
      <c r="G8" s="28"/>
      <c r="H8" s="29"/>
      <c r="I8" s="29"/>
      <c r="J8" s="29"/>
      <c r="K8" s="29"/>
      <c r="L8" s="30"/>
    </row>
    <row r="9" spans="1:16" ht="20.25" thickBot="1" x14ac:dyDescent="0.4">
      <c r="A9" s="220"/>
      <c r="B9" s="197" t="s">
        <v>251</v>
      </c>
      <c r="C9" s="151">
        <v>1015</v>
      </c>
      <c r="D9" s="197" t="s">
        <v>256</v>
      </c>
      <c r="E9" s="151">
        <v>1021</v>
      </c>
      <c r="G9" s="28"/>
      <c r="H9" s="29"/>
      <c r="I9" s="29"/>
      <c r="J9" s="29"/>
      <c r="K9" s="29"/>
      <c r="L9" s="30"/>
    </row>
    <row r="10" spans="1:16" ht="19.5" x14ac:dyDescent="0.35">
      <c r="A10" s="220"/>
      <c r="B10" s="196" t="s">
        <v>257</v>
      </c>
      <c r="C10" s="216">
        <f>C7/C9</f>
        <v>0.78325123152709364</v>
      </c>
      <c r="D10" s="199" t="s">
        <v>259</v>
      </c>
      <c r="E10" s="216">
        <f>E7/E9</f>
        <v>0.57394711067580806</v>
      </c>
      <c r="G10" s="28"/>
      <c r="H10" s="29"/>
      <c r="I10" s="29"/>
      <c r="J10" s="29"/>
      <c r="K10" s="29"/>
      <c r="L10" s="30"/>
    </row>
    <row r="11" spans="1:16" ht="20.25" thickBot="1" x14ac:dyDescent="0.4">
      <c r="A11" s="192"/>
      <c r="B11" s="198" t="s">
        <v>258</v>
      </c>
      <c r="C11" s="217">
        <f>1-C10</f>
        <v>0.21674876847290636</v>
      </c>
      <c r="D11" s="200" t="s">
        <v>260</v>
      </c>
      <c r="E11" s="217">
        <f>1-E10</f>
        <v>0.42605288932419194</v>
      </c>
      <c r="F11" s="192"/>
      <c r="G11" s="28"/>
      <c r="H11" s="29"/>
      <c r="I11" s="29"/>
      <c r="J11" s="29"/>
      <c r="K11" s="29"/>
      <c r="L11" s="30"/>
    </row>
    <row r="12" spans="1:16" x14ac:dyDescent="0.2">
      <c r="A12" s="192"/>
      <c r="B12"/>
      <c r="C12"/>
      <c r="D12"/>
      <c r="F12" s="192"/>
      <c r="G12" s="28"/>
      <c r="H12" s="29"/>
      <c r="I12" s="29"/>
      <c r="J12" s="29"/>
      <c r="K12" s="29"/>
      <c r="L12" s="30"/>
    </row>
    <row r="13" spans="1:16" ht="15.75" thickBot="1" x14ac:dyDescent="0.25">
      <c r="A13" s="62"/>
      <c r="B13" s="29"/>
      <c r="C13"/>
      <c r="D13"/>
      <c r="F13" s="192"/>
      <c r="G13" s="31"/>
      <c r="H13" s="24"/>
      <c r="I13" s="24"/>
      <c r="J13" s="24"/>
      <c r="K13" s="24"/>
      <c r="L13" s="32"/>
    </row>
    <row r="14" spans="1:16" ht="16.5" thickBot="1" x14ac:dyDescent="0.3">
      <c r="A14" s="222"/>
      <c r="B14" s="115"/>
      <c r="C14" s="159"/>
      <c r="D14" s="145"/>
      <c r="E14" s="115"/>
      <c r="F14" s="192"/>
      <c r="G14" s="192"/>
    </row>
    <row r="15" spans="1:16" ht="15.75" x14ac:dyDescent="0.25">
      <c r="A15" s="231"/>
      <c r="B15" s="249" t="s">
        <v>210</v>
      </c>
      <c r="C15" s="252">
        <v>0.86</v>
      </c>
      <c r="F15" s="192"/>
      <c r="G15" s="243" t="s">
        <v>215</v>
      </c>
      <c r="H15" s="243"/>
      <c r="I15" s="243"/>
    </row>
    <row r="16" spans="1:16" ht="15.75" x14ac:dyDescent="0.25">
      <c r="A16" s="62"/>
      <c r="B16" s="251" t="s">
        <v>211</v>
      </c>
      <c r="C16" s="253">
        <f>1-C15</f>
        <v>0.14000000000000001</v>
      </c>
      <c r="F16" s="192"/>
      <c r="G16" s="115"/>
      <c r="H16" s="29"/>
      <c r="I16" s="29"/>
      <c r="M16" s="29"/>
      <c r="N16" s="29"/>
      <c r="O16" s="29"/>
      <c r="P16" s="29"/>
    </row>
    <row r="17" spans="1:16" ht="18.75" thickBot="1" x14ac:dyDescent="0.3">
      <c r="A17" s="192"/>
      <c r="B17" s="251" t="s">
        <v>212</v>
      </c>
      <c r="C17" s="254">
        <f>C16/2</f>
        <v>7.0000000000000007E-2</v>
      </c>
      <c r="F17" s="192"/>
      <c r="G17" s="122" t="s">
        <v>171</v>
      </c>
      <c r="H17">
        <f>($C$10-$E$10)-$B$18*SQRT($C$10*$C$11/$C$9+$E$10*$E$11/$E$9)</f>
        <v>0.17953985900909858</v>
      </c>
      <c r="I17" s="258" t="s">
        <v>266</v>
      </c>
      <c r="J17">
        <f>($C$10-$E$10)+$B$18*SQRT($C$10*$C$11/$C$9+$E$10*$E$11/$E$9)</f>
        <v>0.23906838269347258</v>
      </c>
      <c r="K17" t="s">
        <v>173</v>
      </c>
      <c r="M17" s="29"/>
      <c r="N17" s="29"/>
      <c r="O17" s="29"/>
      <c r="P17" s="29"/>
    </row>
    <row r="18" spans="1:16" ht="19.5" thickBot="1" x14ac:dyDescent="0.4">
      <c r="A18" s="192"/>
      <c r="B18" s="214">
        <f>_xlfn.NORM.INV(1-C17,0,1)</f>
        <v>1.47579102817917</v>
      </c>
      <c r="C18" s="204" t="s">
        <v>265</v>
      </c>
      <c r="D18"/>
      <c r="F18" s="192"/>
      <c r="G18" s="29"/>
      <c r="H18" s="115"/>
      <c r="I18" s="115"/>
      <c r="M18" s="29"/>
      <c r="N18" s="115"/>
      <c r="O18" s="115"/>
      <c r="P18" s="29"/>
    </row>
    <row r="19" spans="1:16" ht="15.75" x14ac:dyDescent="0.25">
      <c r="A19" s="192"/>
      <c r="E19" s="141"/>
      <c r="F19" s="192"/>
      <c r="G19" s="221"/>
      <c r="M19" s="29"/>
      <c r="N19" s="115"/>
      <c r="O19" s="153"/>
      <c r="P19" s="29"/>
    </row>
    <row r="20" spans="1:16" x14ac:dyDescent="0.2">
      <c r="C20" s="194"/>
      <c r="D20"/>
      <c r="F20" s="194"/>
      <c r="M20" s="29"/>
      <c r="N20" s="115"/>
      <c r="O20" s="29"/>
      <c r="P20" s="29"/>
    </row>
    <row r="21" spans="1:16" x14ac:dyDescent="0.2">
      <c r="E21" s="115"/>
      <c r="F21" s="115"/>
      <c r="M21" s="29"/>
      <c r="N21" s="29"/>
      <c r="O21" s="29"/>
      <c r="P21" s="29"/>
    </row>
    <row r="22" spans="1:16" x14ac:dyDescent="0.2">
      <c r="M22" s="29"/>
      <c r="N22" s="29"/>
      <c r="O22" s="29"/>
      <c r="P22" s="29"/>
    </row>
    <row r="23" spans="1:16" x14ac:dyDescent="0.2">
      <c r="M23" s="29"/>
      <c r="N23" s="29"/>
      <c r="O23" s="29"/>
      <c r="P23" s="29"/>
    </row>
    <row r="24" spans="1:16" x14ac:dyDescent="0.2">
      <c r="M24" s="29"/>
      <c r="N24" s="29"/>
      <c r="O24" s="29"/>
      <c r="P24" s="29"/>
    </row>
    <row r="25" spans="1:16" x14ac:dyDescent="0.2">
      <c r="M25" s="29"/>
      <c r="N25" s="29"/>
      <c r="O25" s="29"/>
      <c r="P25" s="29"/>
    </row>
    <row r="26" spans="1:16" x14ac:dyDescent="0.2">
      <c r="A26" s="192"/>
    </row>
    <row r="27" spans="1:16" x14ac:dyDescent="0.2">
      <c r="A27" s="192"/>
      <c r="D27"/>
    </row>
    <row r="28" spans="1:16" x14ac:dyDescent="0.2">
      <c r="A28" s="192"/>
      <c r="D28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48132" r:id="rId4">
          <objectPr defaultSize="0" autoPict="0" r:id="rId5">
            <anchor moveWithCells="1" sizeWithCells="1">
              <from>
                <xdr:col>6</xdr:col>
                <xdr:colOff>95250</xdr:colOff>
                <xdr:row>5</xdr:row>
                <xdr:rowOff>47625</xdr:rowOff>
              </from>
              <to>
                <xdr:col>11</xdr:col>
                <xdr:colOff>638175</xdr:colOff>
                <xdr:row>11</xdr:row>
                <xdr:rowOff>47625</xdr:rowOff>
              </to>
            </anchor>
          </objectPr>
        </oleObject>
      </mc:Choice>
      <mc:Fallback>
        <oleObject progId="Equation.DSMT4" shapeId="4813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40" zoomScaleNormal="140" workbookViewId="0">
      <selection activeCell="E17" sqref="E17"/>
    </sheetView>
  </sheetViews>
  <sheetFormatPr defaultRowHeight="15" x14ac:dyDescent="0.25"/>
  <cols>
    <col min="1" max="2" width="8.88671875" style="23"/>
    <col min="3" max="3" width="14.88671875" style="23" customWidth="1"/>
    <col min="4" max="4" width="14" style="23" customWidth="1"/>
    <col min="5" max="5" width="10.44140625" style="23" customWidth="1"/>
    <col min="6" max="16384" width="8.88671875" style="23"/>
  </cols>
  <sheetData>
    <row r="1" spans="1:5" x14ac:dyDescent="0.25">
      <c r="A1" s="83" t="s">
        <v>152</v>
      </c>
    </row>
    <row r="3" spans="1:5" x14ac:dyDescent="0.25">
      <c r="A3" s="81" t="s">
        <v>137</v>
      </c>
      <c r="B3" s="82">
        <v>36</v>
      </c>
      <c r="C3" s="87">
        <f>FACT(B3)</f>
        <v>3.7199332678990133E+41</v>
      </c>
      <c r="D3" s="88" t="s">
        <v>39</v>
      </c>
      <c r="E3" s="86" t="s">
        <v>134</v>
      </c>
    </row>
    <row r="4" spans="1:5" x14ac:dyDescent="0.25">
      <c r="A4" s="81" t="s">
        <v>138</v>
      </c>
      <c r="B4" s="82">
        <v>9</v>
      </c>
      <c r="C4" s="87">
        <f>PERMUT(B3,B4)</f>
        <v>34162713446400</v>
      </c>
      <c r="D4" s="88" t="s">
        <v>40</v>
      </c>
      <c r="E4" s="86" t="s">
        <v>135</v>
      </c>
    </row>
    <row r="5" spans="1:5" x14ac:dyDescent="0.25">
      <c r="C5" s="87">
        <f>COMBIN(B3,B4)</f>
        <v>94143279.999999985</v>
      </c>
      <c r="D5" s="88" t="s">
        <v>41</v>
      </c>
      <c r="E5" s="86" t="s">
        <v>136</v>
      </c>
    </row>
    <row r="9" spans="1:5" x14ac:dyDescent="0.25">
      <c r="B9" s="83" t="s">
        <v>146</v>
      </c>
    </row>
    <row r="11" spans="1:5" x14ac:dyDescent="0.25">
      <c r="C11" s="80" t="s">
        <v>147</v>
      </c>
    </row>
    <row r="12" spans="1:5" x14ac:dyDescent="0.25">
      <c r="B12" s="80" t="s">
        <v>145</v>
      </c>
      <c r="C12" s="80" t="s">
        <v>148</v>
      </c>
    </row>
    <row r="13" spans="1:5" x14ac:dyDescent="0.25">
      <c r="B13" s="80" t="s">
        <v>139</v>
      </c>
      <c r="C13" s="80">
        <v>3</v>
      </c>
    </row>
    <row r="14" spans="1:5" x14ac:dyDescent="0.25">
      <c r="B14" s="80" t="s">
        <v>140</v>
      </c>
      <c r="C14" s="80">
        <v>8</v>
      </c>
    </row>
    <row r="15" spans="1:5" x14ac:dyDescent="0.25">
      <c r="B15" s="80" t="s">
        <v>141</v>
      </c>
      <c r="C15" s="80">
        <v>2</v>
      </c>
    </row>
    <row r="16" spans="1:5" x14ac:dyDescent="0.25">
      <c r="B16" s="80" t="s">
        <v>142</v>
      </c>
      <c r="C16" s="80">
        <v>5</v>
      </c>
    </row>
    <row r="17" spans="2:5" x14ac:dyDescent="0.25">
      <c r="B17" s="80" t="s">
        <v>143</v>
      </c>
      <c r="C17" s="80">
        <v>6</v>
      </c>
    </row>
    <row r="18" spans="2:5" x14ac:dyDescent="0.25">
      <c r="B18" s="80" t="s">
        <v>144</v>
      </c>
      <c r="C18" s="80">
        <v>6</v>
      </c>
    </row>
    <row r="20" spans="2:5" x14ac:dyDescent="0.25">
      <c r="C20" s="80">
        <f>PRODUCT(C13:C18)</f>
        <v>8640</v>
      </c>
      <c r="D20" s="84" t="s">
        <v>150</v>
      </c>
      <c r="E20" s="84" t="s">
        <v>151</v>
      </c>
    </row>
    <row r="21" spans="2:5" x14ac:dyDescent="0.25">
      <c r="C21" s="85"/>
      <c r="D21" s="84" t="s">
        <v>149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zoomScale="130" zoomScaleNormal="130" workbookViewId="0">
      <selection activeCell="D10" sqref="D10"/>
    </sheetView>
  </sheetViews>
  <sheetFormatPr defaultRowHeight="15" x14ac:dyDescent="0.2"/>
  <cols>
    <col min="1" max="1" width="14.21875" customWidth="1"/>
    <col min="2" max="2" width="11.77734375" style="218" customWidth="1"/>
    <col min="3" max="3" width="15.33203125" style="218" customWidth="1"/>
    <col min="4" max="4" width="11.77734375" style="218" customWidth="1"/>
    <col min="5" max="5" width="7.6640625" customWidth="1"/>
    <col min="6" max="6" width="2.33203125" customWidth="1"/>
    <col min="11" max="11" width="5.33203125" customWidth="1"/>
  </cols>
  <sheetData>
    <row r="1" spans="1:19" ht="18.75" x14ac:dyDescent="0.35">
      <c r="A1" s="131" t="s">
        <v>228</v>
      </c>
      <c r="B1" s="124"/>
      <c r="C1" s="124"/>
      <c r="D1" s="124"/>
      <c r="E1" s="117"/>
      <c r="F1" s="117"/>
      <c r="G1" s="229" t="s">
        <v>261</v>
      </c>
      <c r="H1" s="26"/>
      <c r="I1" s="26"/>
      <c r="J1" s="27"/>
    </row>
    <row r="2" spans="1:19" ht="16.5" thickBot="1" x14ac:dyDescent="0.3">
      <c r="A2" s="131" t="s">
        <v>229</v>
      </c>
      <c r="B2" s="124"/>
      <c r="C2" s="124"/>
      <c r="D2" s="124"/>
      <c r="E2" s="117"/>
      <c r="F2" s="117"/>
      <c r="G2" s="239" t="s">
        <v>262</v>
      </c>
      <c r="H2" s="29"/>
      <c r="I2" s="29"/>
      <c r="J2" s="30"/>
    </row>
    <row r="3" spans="1:19" x14ac:dyDescent="0.2">
      <c r="A3" s="124" t="s">
        <v>112</v>
      </c>
      <c r="B3" s="124"/>
      <c r="C3" s="124"/>
      <c r="D3" s="124"/>
      <c r="E3" s="117"/>
      <c r="F3" s="117"/>
      <c r="G3" s="126"/>
      <c r="H3" s="26"/>
      <c r="I3" s="26"/>
      <c r="J3" s="27"/>
    </row>
    <row r="4" spans="1:19" x14ac:dyDescent="0.2">
      <c r="G4" s="28"/>
      <c r="H4" s="29"/>
      <c r="I4" s="29"/>
      <c r="J4" s="30"/>
    </row>
    <row r="5" spans="1:19" ht="15.75" thickBot="1" x14ac:dyDescent="0.25">
      <c r="A5" s="339" t="s">
        <v>224</v>
      </c>
      <c r="B5" s="339"/>
      <c r="C5" s="339"/>
      <c r="D5" s="339"/>
      <c r="G5" s="128"/>
      <c r="H5" s="62"/>
      <c r="I5" s="29"/>
      <c r="J5" s="30"/>
    </row>
    <row r="6" spans="1:19" ht="15.75" thickBot="1" x14ac:dyDescent="0.25">
      <c r="A6" s="224" t="s">
        <v>225</v>
      </c>
      <c r="B6" s="225"/>
      <c r="C6" s="329" t="s">
        <v>226</v>
      </c>
      <c r="D6" s="330"/>
      <c r="G6" s="128"/>
      <c r="H6" s="29"/>
      <c r="I6" s="29"/>
      <c r="J6" s="30"/>
      <c r="K6" s="29"/>
      <c r="L6" s="29"/>
    </row>
    <row r="7" spans="1:19" ht="19.5" x14ac:dyDescent="0.35">
      <c r="A7" s="196" t="s">
        <v>250</v>
      </c>
      <c r="B7" s="201">
        <v>126</v>
      </c>
      <c r="C7" s="196" t="s">
        <v>254</v>
      </c>
      <c r="D7" s="201">
        <v>40</v>
      </c>
      <c r="G7" s="128"/>
      <c r="H7" s="62"/>
      <c r="I7" s="29"/>
      <c r="J7" s="30"/>
      <c r="K7" s="29"/>
      <c r="L7" s="29"/>
    </row>
    <row r="8" spans="1:19" ht="19.5" x14ac:dyDescent="0.35">
      <c r="A8" s="197" t="s">
        <v>252</v>
      </c>
      <c r="B8" s="202">
        <v>32</v>
      </c>
      <c r="C8" s="197" t="s">
        <v>255</v>
      </c>
      <c r="D8" s="202">
        <v>140</v>
      </c>
      <c r="G8" s="28"/>
      <c r="H8" s="62"/>
      <c r="I8" s="62"/>
      <c r="J8" s="30"/>
      <c r="K8" s="29"/>
      <c r="L8" s="29"/>
    </row>
    <row r="9" spans="1:19" ht="20.25" thickBot="1" x14ac:dyDescent="0.4">
      <c r="A9" s="197" t="s">
        <v>251</v>
      </c>
      <c r="B9" s="151">
        <v>158</v>
      </c>
      <c r="C9" s="197" t="s">
        <v>256</v>
      </c>
      <c r="D9" s="151">
        <v>180</v>
      </c>
      <c r="G9" s="28"/>
      <c r="H9" s="62"/>
      <c r="I9" s="62"/>
      <c r="J9" s="30"/>
      <c r="K9" s="29"/>
      <c r="L9" s="29"/>
    </row>
    <row r="10" spans="1:19" ht="19.5" x14ac:dyDescent="0.35">
      <c r="A10" s="196" t="s">
        <v>257</v>
      </c>
      <c r="B10" s="314">
        <f>B7/B9</f>
        <v>0.79746835443037978</v>
      </c>
      <c r="C10" s="196" t="s">
        <v>259</v>
      </c>
      <c r="D10" s="216">
        <f>D7/D9</f>
        <v>0.22222222222222221</v>
      </c>
      <c r="G10" s="245"/>
      <c r="H10" s="246"/>
      <c r="I10" s="246"/>
      <c r="J10" s="247"/>
      <c r="K10" s="29"/>
      <c r="L10" s="29"/>
    </row>
    <row r="11" spans="1:19" ht="20.25" thickBot="1" x14ac:dyDescent="0.4">
      <c r="A11" s="198" t="s">
        <v>258</v>
      </c>
      <c r="B11" s="217">
        <f>1-B10</f>
        <v>0.20253164556962022</v>
      </c>
      <c r="C11" s="198" t="s">
        <v>260</v>
      </c>
      <c r="D11" s="217">
        <f>1-D10</f>
        <v>0.77777777777777779</v>
      </c>
      <c r="G11" s="340" t="s">
        <v>264</v>
      </c>
      <c r="H11" s="341"/>
      <c r="I11" s="341"/>
      <c r="J11" s="248">
        <f>((B10-D10)-B14)/SQRT(B10*B11/B9+D10*D11/D9)</f>
        <v>12.9197014479067</v>
      </c>
      <c r="K11" s="29"/>
      <c r="L11" s="29"/>
    </row>
    <row r="12" spans="1:19" ht="15.75" thickBot="1" x14ac:dyDescent="0.25">
      <c r="B12"/>
      <c r="C12"/>
      <c r="D12"/>
      <c r="G12" s="31"/>
      <c r="H12" s="24"/>
      <c r="I12" s="24"/>
      <c r="J12" s="32"/>
      <c r="K12" s="29"/>
      <c r="L12" s="29"/>
      <c r="M12" s="29"/>
    </row>
    <row r="13" spans="1:19" ht="16.5" thickBot="1" x14ac:dyDescent="0.3">
      <c r="A13" s="142"/>
      <c r="B13" s="222"/>
      <c r="C13" s="142"/>
      <c r="D13" s="62"/>
      <c r="E13" s="104"/>
      <c r="F13" s="104"/>
      <c r="K13" s="29"/>
      <c r="L13" s="29"/>
      <c r="M13" s="29"/>
    </row>
    <row r="14" spans="1:19" ht="20.25" thickBot="1" x14ac:dyDescent="0.4">
      <c r="A14" s="142"/>
      <c r="B14" s="233">
        <v>0</v>
      </c>
      <c r="C14" s="234" t="s">
        <v>263</v>
      </c>
      <c r="D14" s="235"/>
      <c r="E14" s="236"/>
      <c r="F14" s="238"/>
      <c r="G14" s="229" t="s">
        <v>261</v>
      </c>
      <c r="H14" s="26"/>
      <c r="I14" s="26"/>
      <c r="J14" s="26"/>
      <c r="K14" s="27"/>
      <c r="L14" s="29"/>
      <c r="M14" s="29"/>
    </row>
    <row r="15" spans="1:19" ht="16.5" thickBot="1" x14ac:dyDescent="0.3">
      <c r="A15" s="29"/>
      <c r="D15" s="62"/>
      <c r="E15" s="218"/>
      <c r="F15" s="221"/>
      <c r="G15" s="230" t="s">
        <v>315</v>
      </c>
      <c r="H15" s="24"/>
      <c r="I15" s="24"/>
      <c r="J15" s="24"/>
      <c r="K15" s="32"/>
      <c r="L15" s="29"/>
      <c r="M15" s="29"/>
    </row>
    <row r="16" spans="1:19" ht="15.75" thickBot="1" x14ac:dyDescent="0.25">
      <c r="A16" s="115"/>
      <c r="B16" s="233">
        <v>0.01</v>
      </c>
      <c r="C16" s="237" t="s">
        <v>80</v>
      </c>
      <c r="D16" s="219"/>
      <c r="E16" s="115"/>
      <c r="F16" s="115"/>
      <c r="G16" s="28"/>
      <c r="H16" s="29"/>
      <c r="I16" s="29"/>
      <c r="J16" s="29"/>
      <c r="K16" s="30"/>
      <c r="O16" s="29"/>
      <c r="P16" s="29"/>
      <c r="Q16" s="29"/>
      <c r="R16" s="29"/>
      <c r="S16" s="29"/>
    </row>
    <row r="17" spans="1:19" ht="15.75" thickBot="1" x14ac:dyDescent="0.25">
      <c r="A17" s="115"/>
      <c r="B17" s="219"/>
      <c r="C17" s="219"/>
      <c r="D17" s="219"/>
      <c r="E17" s="115"/>
      <c r="F17" s="115"/>
      <c r="G17" s="28"/>
      <c r="H17" s="29"/>
      <c r="I17" s="29"/>
      <c r="J17" s="29"/>
      <c r="K17" s="30"/>
      <c r="O17" s="29"/>
      <c r="P17" s="29"/>
      <c r="Q17" s="29"/>
      <c r="R17" s="29"/>
      <c r="S17" s="29"/>
    </row>
    <row r="18" spans="1:19" ht="15.75" thickBot="1" x14ac:dyDescent="0.25">
      <c r="B18" s="343" t="s">
        <v>239</v>
      </c>
      <c r="C18" s="344"/>
      <c r="D18" s="345"/>
      <c r="G18" s="128"/>
      <c r="H18" s="62"/>
      <c r="I18" s="29"/>
      <c r="J18" s="29"/>
      <c r="K18" s="30"/>
      <c r="O18" s="29"/>
      <c r="P18" s="29"/>
      <c r="Q18" s="29"/>
      <c r="R18" s="29"/>
      <c r="S18" s="29"/>
    </row>
    <row r="19" spans="1:19" ht="15.75" x14ac:dyDescent="0.25">
      <c r="A19" s="115"/>
      <c r="B19" s="118" t="s">
        <v>240</v>
      </c>
      <c r="C19" s="62" t="s">
        <v>241</v>
      </c>
      <c r="D19" s="232" t="s">
        <v>196</v>
      </c>
      <c r="E19" s="145"/>
      <c r="F19" s="145"/>
      <c r="G19" s="128"/>
      <c r="H19" s="29"/>
      <c r="I19" s="29"/>
      <c r="J19" s="29"/>
      <c r="K19" s="30"/>
      <c r="O19" s="29"/>
      <c r="P19" s="115"/>
      <c r="Q19" s="115"/>
      <c r="R19" s="29"/>
      <c r="S19" s="29"/>
    </row>
    <row r="20" spans="1:19" ht="15.75" thickBot="1" x14ac:dyDescent="0.25">
      <c r="A20" s="115"/>
      <c r="B20" s="211">
        <f>_xlfn.NORM.INV(B$16,0,1)</f>
        <v>-2.3263478740408408</v>
      </c>
      <c r="C20" s="210">
        <f>_xlfn.NORM.INV(1-B$16/2,0,1)</f>
        <v>2.5758293035488999</v>
      </c>
      <c r="D20" s="203">
        <f>_xlfn.NORM.INV(1-B$16,0,1)</f>
        <v>2.3263478740408408</v>
      </c>
      <c r="G20" s="128"/>
      <c r="H20" s="62"/>
      <c r="I20" s="29"/>
      <c r="J20" s="29"/>
      <c r="K20" s="30"/>
      <c r="O20" s="29"/>
      <c r="P20" s="115"/>
      <c r="Q20" s="153"/>
      <c r="R20" s="29"/>
      <c r="S20" s="29"/>
    </row>
    <row r="21" spans="1:19" x14ac:dyDescent="0.2">
      <c r="A21" s="115"/>
      <c r="B21"/>
      <c r="C21"/>
      <c r="D21"/>
      <c r="G21" s="28"/>
      <c r="H21" s="62"/>
      <c r="I21" s="62"/>
      <c r="J21" s="29"/>
      <c r="K21" s="30"/>
      <c r="O21" s="29"/>
      <c r="P21" s="115"/>
      <c r="Q21" s="29"/>
      <c r="R21" s="29"/>
      <c r="S21" s="29"/>
    </row>
    <row r="22" spans="1:19" x14ac:dyDescent="0.2">
      <c r="G22" s="28"/>
      <c r="H22" s="62"/>
      <c r="I22" s="62"/>
      <c r="J22" s="29"/>
      <c r="K22" s="30"/>
      <c r="O22" s="29"/>
      <c r="P22" s="29"/>
      <c r="Q22" s="29"/>
      <c r="R22" s="29"/>
      <c r="S22" s="29"/>
    </row>
    <row r="23" spans="1:19" x14ac:dyDescent="0.2">
      <c r="G23" s="28"/>
      <c r="H23" s="29"/>
      <c r="I23" s="29"/>
      <c r="J23" s="29"/>
      <c r="K23" s="30"/>
      <c r="O23" s="29"/>
      <c r="P23" s="29"/>
      <c r="Q23" s="29"/>
      <c r="R23" s="29"/>
      <c r="S23" s="29"/>
    </row>
    <row r="24" spans="1:19" x14ac:dyDescent="0.2">
      <c r="G24" s="28"/>
      <c r="H24" s="29"/>
      <c r="I24" s="29"/>
      <c r="J24" s="29"/>
      <c r="K24" s="30"/>
      <c r="O24" s="29"/>
      <c r="P24" s="29"/>
      <c r="Q24" s="29"/>
      <c r="R24" s="29"/>
      <c r="S24" s="29"/>
    </row>
    <row r="25" spans="1:19" x14ac:dyDescent="0.2">
      <c r="A25" s="29"/>
      <c r="B25" s="62"/>
      <c r="C25" s="62"/>
      <c r="D25" s="62"/>
      <c r="E25" s="29"/>
      <c r="F25" s="29"/>
      <c r="G25" s="28"/>
      <c r="H25" s="29"/>
      <c r="I25" s="29"/>
      <c r="J25" s="29"/>
      <c r="K25" s="30"/>
      <c r="L25" s="29"/>
      <c r="M25" s="29"/>
      <c r="N25" s="29"/>
      <c r="O25" s="29"/>
      <c r="P25" s="29"/>
      <c r="Q25" s="29"/>
      <c r="R25" s="29"/>
      <c r="S25" s="29"/>
    </row>
    <row r="26" spans="1:19" ht="15.75" x14ac:dyDescent="0.25">
      <c r="A26" s="29"/>
      <c r="B26" s="138"/>
      <c r="C26" s="62"/>
      <c r="D26" s="226"/>
      <c r="E26" s="29"/>
      <c r="F26" s="29"/>
      <c r="G26" s="28"/>
      <c r="H26" s="29"/>
      <c r="I26" s="29"/>
      <c r="J26" s="29"/>
      <c r="K26" s="30"/>
      <c r="L26" s="29"/>
      <c r="M26" s="29"/>
      <c r="N26" s="29"/>
      <c r="O26" s="29"/>
      <c r="P26" s="29"/>
      <c r="Q26" s="29"/>
      <c r="R26" s="29"/>
      <c r="S26" s="29"/>
    </row>
    <row r="27" spans="1:19" x14ac:dyDescent="0.2">
      <c r="A27" s="29"/>
      <c r="B27" s="62"/>
      <c r="C27" s="62"/>
      <c r="D27" s="227"/>
      <c r="E27" s="29"/>
      <c r="F27" s="29"/>
      <c r="G27" s="28"/>
      <c r="H27" s="29"/>
      <c r="I27" s="29"/>
      <c r="J27" s="29"/>
      <c r="K27" s="30"/>
      <c r="L27" s="29"/>
      <c r="M27" s="29"/>
      <c r="N27" s="29"/>
      <c r="O27" s="29"/>
      <c r="P27" s="29"/>
      <c r="Q27" s="29"/>
      <c r="R27" s="29"/>
      <c r="S27" s="29"/>
    </row>
    <row r="28" spans="1:19" x14ac:dyDescent="0.2">
      <c r="A28" s="29"/>
      <c r="B28" s="29"/>
      <c r="C28" s="62"/>
      <c r="D28" s="227"/>
      <c r="E28" s="29"/>
      <c r="F28" s="29"/>
      <c r="G28" s="28"/>
      <c r="H28" s="29"/>
      <c r="I28" s="29"/>
      <c r="J28" s="29"/>
      <c r="K28" s="30"/>
      <c r="L28" s="29"/>
      <c r="M28" s="29"/>
      <c r="N28" s="29"/>
      <c r="O28" s="29"/>
      <c r="P28" s="29"/>
      <c r="Q28" s="29"/>
      <c r="R28" s="29"/>
      <c r="S28" s="29"/>
    </row>
    <row r="29" spans="1:19" x14ac:dyDescent="0.2">
      <c r="A29" s="29"/>
      <c r="B29" s="62"/>
      <c r="C29" s="62"/>
      <c r="D29" s="227"/>
      <c r="E29" s="29"/>
      <c r="F29" s="29"/>
      <c r="G29" s="28"/>
      <c r="H29" s="29"/>
      <c r="I29" s="29"/>
      <c r="J29" s="29"/>
      <c r="K29" s="30"/>
      <c r="L29" s="29"/>
      <c r="M29" s="29"/>
      <c r="N29" s="29"/>
      <c r="O29" s="29"/>
      <c r="P29" s="29"/>
      <c r="Q29" s="29"/>
    </row>
    <row r="30" spans="1:19" ht="15.75" x14ac:dyDescent="0.25">
      <c r="A30" s="29"/>
      <c r="B30" s="62"/>
      <c r="C30" s="62"/>
      <c r="D30" s="228"/>
      <c r="E30" s="29"/>
      <c r="F30" s="29"/>
      <c r="G30" s="28"/>
      <c r="H30" s="29"/>
      <c r="I30" s="29"/>
      <c r="J30" s="29"/>
      <c r="K30" s="30"/>
      <c r="L30" s="29"/>
      <c r="M30" s="29"/>
      <c r="N30" s="29"/>
      <c r="O30" s="29"/>
      <c r="P30" s="29"/>
      <c r="Q30" s="29"/>
    </row>
    <row r="31" spans="1:19" x14ac:dyDescent="0.2">
      <c r="A31" s="29"/>
      <c r="B31" s="62"/>
      <c r="C31" s="62"/>
      <c r="D31" s="62"/>
      <c r="E31" s="29"/>
      <c r="F31" s="29"/>
      <c r="G31" s="28"/>
      <c r="H31" s="29"/>
      <c r="I31" s="29"/>
      <c r="J31" s="29"/>
      <c r="K31" s="30"/>
      <c r="L31" s="29"/>
      <c r="M31" s="29"/>
      <c r="N31" s="29"/>
      <c r="O31" s="29"/>
      <c r="P31" s="29"/>
      <c r="Q31" s="29"/>
    </row>
    <row r="32" spans="1:19" ht="15.75" thickBot="1" x14ac:dyDescent="0.25">
      <c r="A32" s="29"/>
      <c r="B32" s="62"/>
      <c r="C32" s="62"/>
      <c r="D32" s="62"/>
      <c r="E32" s="29"/>
      <c r="F32" s="29"/>
      <c r="G32" s="240"/>
      <c r="H32" s="24"/>
      <c r="I32" s="24"/>
      <c r="J32" s="24"/>
      <c r="K32" s="32"/>
      <c r="L32" s="29"/>
      <c r="M32" s="29"/>
      <c r="N32" s="29"/>
      <c r="O32" s="29"/>
      <c r="P32" s="29"/>
      <c r="Q32" s="29"/>
    </row>
    <row r="33" spans="1:17" x14ac:dyDescent="0.2">
      <c r="A33" s="29"/>
      <c r="B33" s="62"/>
      <c r="C33" s="62"/>
      <c r="D33" s="62"/>
      <c r="E33" s="29"/>
      <c r="F33" s="29"/>
      <c r="G33" s="25"/>
      <c r="H33" s="26"/>
      <c r="I33" s="26"/>
      <c r="J33" s="26"/>
      <c r="K33" s="27"/>
      <c r="L33" s="29"/>
      <c r="M33" s="29"/>
      <c r="N33" s="29"/>
      <c r="O33" s="29"/>
      <c r="P33" s="29"/>
      <c r="Q33" s="29"/>
    </row>
    <row r="34" spans="1:17" ht="15.75" x14ac:dyDescent="0.25">
      <c r="A34" s="29"/>
      <c r="B34" s="62"/>
      <c r="C34" s="62"/>
      <c r="D34" s="62"/>
      <c r="E34" s="29"/>
      <c r="F34" s="29"/>
      <c r="G34" s="340" t="s">
        <v>264</v>
      </c>
      <c r="H34" s="341"/>
      <c r="I34" s="341"/>
      <c r="J34" s="244">
        <f>(B10-D10)/SQRT(J37*J39/B9+J37*J39/D9)</f>
        <v>10.555008465687344</v>
      </c>
      <c r="K34" s="241"/>
      <c r="L34" s="29"/>
      <c r="M34" s="29"/>
      <c r="N34" s="29"/>
      <c r="O34" s="29"/>
      <c r="P34" s="29"/>
      <c r="Q34" s="29"/>
    </row>
    <row r="35" spans="1:17" ht="16.5" thickBot="1" x14ac:dyDescent="0.3">
      <c r="A35" s="29"/>
      <c r="B35" s="62"/>
      <c r="C35" s="62"/>
      <c r="D35" s="228"/>
      <c r="E35" s="29"/>
      <c r="F35" s="29"/>
      <c r="G35" s="28"/>
      <c r="H35" s="29"/>
      <c r="I35" s="29"/>
      <c r="J35" s="29"/>
      <c r="K35" s="30"/>
      <c r="L35" s="29"/>
      <c r="M35" s="29"/>
      <c r="N35" s="29"/>
      <c r="O35" s="29"/>
      <c r="P35" s="29"/>
      <c r="Q35" s="29"/>
    </row>
    <row r="36" spans="1:17" x14ac:dyDescent="0.2">
      <c r="A36" s="29"/>
      <c r="B36" s="62"/>
      <c r="C36" s="62"/>
      <c r="D36" s="62"/>
      <c r="F36" s="29"/>
      <c r="G36" s="25"/>
      <c r="H36" s="26"/>
      <c r="I36" s="26"/>
      <c r="J36" s="26"/>
      <c r="K36" s="27"/>
      <c r="L36" s="29"/>
      <c r="M36" s="29"/>
      <c r="N36" s="29"/>
      <c r="O36" s="29"/>
      <c r="P36" s="29"/>
      <c r="Q36" s="29"/>
    </row>
    <row r="37" spans="1:17" ht="15.75" x14ac:dyDescent="0.25">
      <c r="A37" s="29"/>
      <c r="B37" s="62"/>
      <c r="C37" s="62"/>
      <c r="D37" s="62"/>
      <c r="E37" s="29"/>
      <c r="F37" s="29"/>
      <c r="G37" s="342" t="s">
        <v>245</v>
      </c>
      <c r="H37" s="341"/>
      <c r="I37" s="341"/>
      <c r="J37" s="304">
        <f>(B7+D7)/(B9+D9)</f>
        <v>0.4911242603550296</v>
      </c>
      <c r="K37" s="242"/>
      <c r="L37" s="29"/>
      <c r="M37" s="29"/>
      <c r="N37" s="29"/>
      <c r="O37" s="29"/>
      <c r="P37" s="29"/>
      <c r="Q37" s="29"/>
    </row>
    <row r="38" spans="1:17" ht="15.75" x14ac:dyDescent="0.25">
      <c r="A38" s="29"/>
      <c r="B38" s="62"/>
      <c r="C38" s="62"/>
      <c r="D38" s="62"/>
      <c r="E38" s="29"/>
      <c r="F38" s="29"/>
      <c r="G38" s="28"/>
      <c r="H38" s="29"/>
      <c r="I38" s="29"/>
      <c r="J38" s="104"/>
      <c r="K38" s="30"/>
      <c r="L38" s="29"/>
      <c r="M38" s="29"/>
      <c r="N38" s="29"/>
      <c r="O38" s="29"/>
      <c r="P38" s="29"/>
      <c r="Q38" s="29"/>
    </row>
    <row r="39" spans="1:17" ht="15.75" x14ac:dyDescent="0.25">
      <c r="A39" s="29"/>
      <c r="B39" s="62"/>
      <c r="C39" s="62"/>
      <c r="D39" s="62"/>
      <c r="F39" s="29"/>
      <c r="G39" s="342" t="s">
        <v>245</v>
      </c>
      <c r="H39" s="341"/>
      <c r="I39" s="341"/>
      <c r="J39" s="287">
        <f>1-J37</f>
        <v>0.50887573964497035</v>
      </c>
      <c r="K39" s="30"/>
      <c r="L39" s="29"/>
      <c r="M39" s="29"/>
      <c r="N39" s="29"/>
      <c r="O39" s="29"/>
      <c r="P39" s="29"/>
      <c r="Q39" s="29"/>
    </row>
    <row r="40" spans="1:17" ht="15.75" thickBot="1" x14ac:dyDescent="0.25">
      <c r="A40" s="29"/>
      <c r="B40" s="62"/>
      <c r="C40" s="62"/>
      <c r="D40" s="62"/>
      <c r="E40" s="29"/>
      <c r="F40" s="29"/>
      <c r="G40" s="31"/>
      <c r="H40" s="24"/>
      <c r="I40" s="24"/>
      <c r="J40" s="24"/>
      <c r="K40" s="32"/>
      <c r="L40" s="29"/>
      <c r="M40" s="29"/>
      <c r="N40" s="29"/>
      <c r="O40" s="29"/>
      <c r="P40" s="29"/>
      <c r="Q40" s="29"/>
    </row>
    <row r="41" spans="1:17" x14ac:dyDescent="0.2">
      <c r="A41" s="29"/>
      <c r="B41" s="62"/>
      <c r="C41" s="62"/>
      <c r="D41" s="6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x14ac:dyDescent="0.2">
      <c r="A42" s="29"/>
      <c r="B42" s="62"/>
      <c r="C42" s="62"/>
      <c r="D42" s="6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x14ac:dyDescent="0.2">
      <c r="K43" s="29"/>
    </row>
  </sheetData>
  <mergeCells count="7">
    <mergeCell ref="G34:I34"/>
    <mergeCell ref="G37:I37"/>
    <mergeCell ref="G39:I39"/>
    <mergeCell ref="A5:D5"/>
    <mergeCell ref="C6:D6"/>
    <mergeCell ref="B18:D18"/>
    <mergeCell ref="G11:I11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49156" r:id="rId4">
          <objectPr defaultSize="0" autoPict="0" r:id="rId5">
            <anchor moveWithCells="1" sizeWithCells="1">
              <from>
                <xdr:col>6</xdr:col>
                <xdr:colOff>123825</xdr:colOff>
                <xdr:row>15</xdr:row>
                <xdr:rowOff>123825</xdr:rowOff>
              </from>
              <to>
                <xdr:col>10</xdr:col>
                <xdr:colOff>266700</xdr:colOff>
                <xdr:row>31</xdr:row>
                <xdr:rowOff>76200</xdr:rowOff>
              </to>
            </anchor>
          </objectPr>
        </oleObject>
      </mc:Choice>
      <mc:Fallback>
        <oleObject progId="Equation.DSMT4" shapeId="49156" r:id="rId4"/>
      </mc:Fallback>
    </mc:AlternateContent>
    <mc:AlternateContent xmlns:mc="http://schemas.openxmlformats.org/markup-compatibility/2006">
      <mc:Choice Requires="x14">
        <oleObject progId="Equation.DSMT4" shapeId="49157" r:id="rId6">
          <objectPr defaultSize="0" autoPict="0" r:id="rId7">
            <anchor moveWithCells="1" sizeWithCells="1">
              <from>
                <xdr:col>6</xdr:col>
                <xdr:colOff>352425</xdr:colOff>
                <xdr:row>2</xdr:row>
                <xdr:rowOff>161925</xdr:rowOff>
              </from>
              <to>
                <xdr:col>9</xdr:col>
                <xdr:colOff>304800</xdr:colOff>
                <xdr:row>8</xdr:row>
                <xdr:rowOff>19050</xdr:rowOff>
              </to>
            </anchor>
          </objectPr>
        </oleObject>
      </mc:Choice>
      <mc:Fallback>
        <oleObject progId="Equation.DSMT4" shapeId="49157" r:id="rId6"/>
      </mc:Fallback>
    </mc:AlternateContent>
    <mc:AlternateContent xmlns:mc="http://schemas.openxmlformats.org/markup-compatibility/2006">
      <mc:Choice Requires="x14">
        <oleObject progId="Equation.DSMT4" shapeId="49158" r:id="rId8">
          <objectPr defaultSize="0" autoPict="0" r:id="rId9">
            <anchor moveWithCells="1" sizeWithCells="1">
              <from>
                <xdr:col>8</xdr:col>
                <xdr:colOff>342900</xdr:colOff>
                <xdr:row>35</xdr:row>
                <xdr:rowOff>152400</xdr:rowOff>
              </from>
              <to>
                <xdr:col>8</xdr:col>
                <xdr:colOff>561975</xdr:colOff>
                <xdr:row>37</xdr:row>
                <xdr:rowOff>28575</xdr:rowOff>
              </to>
            </anchor>
          </objectPr>
        </oleObject>
      </mc:Choice>
      <mc:Fallback>
        <oleObject progId="Equation.DSMT4" shapeId="49158" r:id="rId8"/>
      </mc:Fallback>
    </mc:AlternateContent>
    <mc:AlternateContent xmlns:mc="http://schemas.openxmlformats.org/markup-compatibility/2006">
      <mc:Choice Requires="x14">
        <oleObject progId="Equation.DSMT4" shapeId="49159" r:id="rId10">
          <objectPr defaultSize="0" autoPict="0" r:id="rId11">
            <anchor moveWithCells="1" sizeWithCells="1">
              <from>
                <xdr:col>8</xdr:col>
                <xdr:colOff>333375</xdr:colOff>
                <xdr:row>37</xdr:row>
                <xdr:rowOff>123825</xdr:rowOff>
              </from>
              <to>
                <xdr:col>8</xdr:col>
                <xdr:colOff>561975</xdr:colOff>
                <xdr:row>39</xdr:row>
                <xdr:rowOff>38100</xdr:rowOff>
              </to>
            </anchor>
          </objectPr>
        </oleObject>
      </mc:Choice>
      <mc:Fallback>
        <oleObject progId="Equation.DSMT4" shapeId="49159" r:id="rId10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zoomScale="140" zoomScaleNormal="140" workbookViewId="0">
      <selection activeCell="D4" sqref="D4"/>
    </sheetView>
  </sheetViews>
  <sheetFormatPr defaultRowHeight="15" x14ac:dyDescent="0.2"/>
  <cols>
    <col min="3" max="3" width="12.5546875" customWidth="1"/>
    <col min="5" max="5" width="3.88671875" customWidth="1"/>
  </cols>
  <sheetData>
    <row r="1" spans="1:9" ht="16.5" thickBot="1" x14ac:dyDescent="0.3">
      <c r="A1" s="131" t="s">
        <v>267</v>
      </c>
      <c r="B1" s="124"/>
      <c r="C1" s="124"/>
      <c r="D1" s="124"/>
      <c r="F1" s="351" t="s">
        <v>269</v>
      </c>
      <c r="G1" s="352"/>
      <c r="H1" s="352"/>
      <c r="I1" s="352"/>
    </row>
    <row r="2" spans="1:9" ht="15.75" x14ac:dyDescent="0.25">
      <c r="A2" s="131" t="s">
        <v>271</v>
      </c>
      <c r="B2" s="124"/>
      <c r="C2" s="124"/>
      <c r="D2" s="124"/>
      <c r="F2" s="25"/>
      <c r="G2" s="26"/>
      <c r="H2" s="26"/>
      <c r="I2" s="27"/>
    </row>
    <row r="3" spans="1:9" ht="15.75" thickBot="1" x14ac:dyDescent="0.25">
      <c r="F3" s="28"/>
      <c r="G3" s="29"/>
      <c r="H3" s="29"/>
      <c r="I3" s="30"/>
    </row>
    <row r="4" spans="1:9" ht="16.5" thickBot="1" x14ac:dyDescent="0.3">
      <c r="A4" s="349" t="s">
        <v>268</v>
      </c>
      <c r="B4" s="350"/>
      <c r="C4" s="109" t="s">
        <v>138</v>
      </c>
      <c r="D4" s="124">
        <f>CORREL(B6:B55,A6:A55)</f>
        <v>-0.90749856462840717</v>
      </c>
      <c r="F4" s="28"/>
      <c r="G4" s="29"/>
      <c r="H4" s="29"/>
      <c r="I4" s="30"/>
    </row>
    <row r="5" spans="1:9" ht="16.5" thickBot="1" x14ac:dyDescent="0.3">
      <c r="A5" s="259" t="s">
        <v>42</v>
      </c>
      <c r="B5" s="260" t="s">
        <v>206</v>
      </c>
      <c r="F5" s="28"/>
      <c r="G5" s="29"/>
      <c r="H5" s="29"/>
      <c r="I5" s="30"/>
    </row>
    <row r="6" spans="1:9" x14ac:dyDescent="0.2">
      <c r="A6" s="55">
        <v>20</v>
      </c>
      <c r="B6" s="55">
        <v>183</v>
      </c>
      <c r="F6" s="28"/>
      <c r="G6" s="29"/>
      <c r="H6" s="29"/>
      <c r="I6" s="30"/>
    </row>
    <row r="7" spans="1:9" x14ac:dyDescent="0.2">
      <c r="A7" s="55">
        <v>10</v>
      </c>
      <c r="B7" s="55">
        <v>175</v>
      </c>
      <c r="F7" s="28"/>
      <c r="G7" s="29"/>
      <c r="H7" s="29"/>
      <c r="I7" s="30"/>
    </row>
    <row r="8" spans="1:9" x14ac:dyDescent="0.2">
      <c r="A8" s="55">
        <v>0</v>
      </c>
      <c r="B8" s="55">
        <v>200</v>
      </c>
      <c r="F8" s="28"/>
      <c r="G8" s="29"/>
      <c r="H8" s="29"/>
      <c r="I8" s="30"/>
    </row>
    <row r="9" spans="1:9" x14ac:dyDescent="0.2">
      <c r="A9" s="55">
        <v>51</v>
      </c>
      <c r="B9" s="55">
        <v>166</v>
      </c>
      <c r="F9" s="28"/>
      <c r="G9" s="29"/>
      <c r="H9" s="29"/>
      <c r="I9" s="30"/>
    </row>
    <row r="10" spans="1:9" x14ac:dyDescent="0.2">
      <c r="A10" s="55">
        <v>60</v>
      </c>
      <c r="B10" s="55">
        <v>152</v>
      </c>
      <c r="F10" s="28"/>
      <c r="G10" s="29"/>
      <c r="H10" s="29"/>
      <c r="I10" s="30"/>
    </row>
    <row r="11" spans="1:9" x14ac:dyDescent="0.2">
      <c r="A11" s="55"/>
      <c r="B11" s="55"/>
      <c r="F11" s="28"/>
      <c r="G11" s="29"/>
      <c r="H11" s="29"/>
      <c r="I11" s="30"/>
    </row>
    <row r="12" spans="1:9" x14ac:dyDescent="0.2">
      <c r="A12" s="55"/>
      <c r="B12" s="55"/>
      <c r="F12" s="28"/>
      <c r="G12" s="29"/>
      <c r="H12" s="29"/>
      <c r="I12" s="30"/>
    </row>
    <row r="13" spans="1:9" x14ac:dyDescent="0.2">
      <c r="A13" s="55"/>
      <c r="B13" s="55"/>
      <c r="F13" s="28"/>
      <c r="G13" s="29"/>
      <c r="H13" s="29"/>
      <c r="I13" s="30"/>
    </row>
    <row r="14" spans="1:9" x14ac:dyDescent="0.2">
      <c r="A14" s="55"/>
      <c r="B14" s="55"/>
      <c r="F14" s="28"/>
      <c r="G14" s="29"/>
      <c r="H14" s="29"/>
      <c r="I14" s="30"/>
    </row>
    <row r="15" spans="1:9" x14ac:dyDescent="0.2">
      <c r="A15" s="55"/>
      <c r="B15" s="55"/>
      <c r="F15" s="28"/>
      <c r="G15" s="29"/>
      <c r="H15" s="29"/>
      <c r="I15" s="30"/>
    </row>
    <row r="16" spans="1:9" x14ac:dyDescent="0.2">
      <c r="A16" s="55"/>
      <c r="B16" s="55"/>
      <c r="F16" s="28"/>
      <c r="G16" s="29"/>
      <c r="H16" s="29"/>
      <c r="I16" s="30"/>
    </row>
    <row r="17" spans="1:9" x14ac:dyDescent="0.2">
      <c r="A17" s="55"/>
      <c r="B17" s="55"/>
      <c r="F17" s="28"/>
      <c r="G17" s="29"/>
      <c r="H17" s="29"/>
      <c r="I17" s="30"/>
    </row>
    <row r="18" spans="1:9" ht="15.75" thickBot="1" x14ac:dyDescent="0.25">
      <c r="A18" s="55"/>
      <c r="B18" s="55"/>
      <c r="F18" s="31"/>
      <c r="G18" s="24"/>
      <c r="H18" s="24"/>
      <c r="I18" s="32"/>
    </row>
    <row r="19" spans="1:9" ht="15.75" thickBot="1" x14ac:dyDescent="0.25">
      <c r="A19" s="55"/>
      <c r="B19" s="55"/>
    </row>
    <row r="20" spans="1:9" ht="16.5" thickBot="1" x14ac:dyDescent="0.3">
      <c r="A20" s="55"/>
      <c r="B20" s="55"/>
      <c r="F20" s="353" t="s">
        <v>327</v>
      </c>
      <c r="G20" s="354"/>
      <c r="H20" s="354"/>
      <c r="I20" s="355"/>
    </row>
    <row r="21" spans="1:9" x14ac:dyDescent="0.2">
      <c r="A21" s="55"/>
      <c r="B21" s="55"/>
      <c r="F21" s="25"/>
      <c r="G21" s="26"/>
      <c r="H21" s="26"/>
      <c r="I21" s="27"/>
    </row>
    <row r="22" spans="1:9" ht="15.75" x14ac:dyDescent="0.25">
      <c r="A22" s="55"/>
      <c r="B22" s="55"/>
      <c r="F22" s="346" t="s">
        <v>328</v>
      </c>
      <c r="G22" s="347"/>
      <c r="H22" s="347"/>
      <c r="I22" s="348"/>
    </row>
    <row r="23" spans="1:9" ht="18.75" x14ac:dyDescent="0.35">
      <c r="A23" s="55"/>
      <c r="B23" s="55"/>
      <c r="F23" s="346" t="s">
        <v>329</v>
      </c>
      <c r="G23" s="347"/>
      <c r="H23" s="347"/>
      <c r="I23" s="348"/>
    </row>
    <row r="24" spans="1:9" ht="15.75" x14ac:dyDescent="0.25">
      <c r="A24" s="55"/>
      <c r="B24" s="55"/>
      <c r="F24" s="346" t="s">
        <v>326</v>
      </c>
      <c r="G24" s="347"/>
      <c r="H24" s="347"/>
      <c r="I24" s="348"/>
    </row>
    <row r="25" spans="1:9" ht="15.75" thickBot="1" x14ac:dyDescent="0.25">
      <c r="A25" s="55"/>
      <c r="B25" s="55"/>
      <c r="F25" s="31"/>
      <c r="G25" s="24"/>
      <c r="H25" s="24"/>
      <c r="I25" s="32"/>
    </row>
    <row r="26" spans="1:9" x14ac:dyDescent="0.2">
      <c r="A26" s="55"/>
      <c r="B26" s="55"/>
    </row>
    <row r="27" spans="1:9" x14ac:dyDescent="0.2">
      <c r="A27" s="55"/>
      <c r="B27" s="55"/>
    </row>
    <row r="28" spans="1:9" x14ac:dyDescent="0.2">
      <c r="A28" s="55"/>
      <c r="B28" s="55"/>
    </row>
    <row r="29" spans="1:9" x14ac:dyDescent="0.2">
      <c r="A29" s="55"/>
      <c r="B29" s="55"/>
    </row>
    <row r="30" spans="1:9" x14ac:dyDescent="0.2">
      <c r="A30" s="55"/>
      <c r="B30" s="55"/>
    </row>
    <row r="31" spans="1:9" x14ac:dyDescent="0.2">
      <c r="A31" s="55"/>
      <c r="B31" s="55"/>
    </row>
    <row r="32" spans="1:9" x14ac:dyDescent="0.2">
      <c r="A32" s="55"/>
      <c r="B32" s="55"/>
    </row>
    <row r="33" spans="1:2" x14ac:dyDescent="0.2">
      <c r="A33" s="55"/>
      <c r="B33" s="55"/>
    </row>
    <row r="34" spans="1:2" x14ac:dyDescent="0.2">
      <c r="A34" s="55"/>
      <c r="B34" s="55"/>
    </row>
    <row r="35" spans="1:2" x14ac:dyDescent="0.2">
      <c r="A35" s="55"/>
      <c r="B35" s="55"/>
    </row>
    <row r="36" spans="1:2" x14ac:dyDescent="0.2">
      <c r="A36" s="55"/>
      <c r="B36" s="55"/>
    </row>
    <row r="37" spans="1:2" x14ac:dyDescent="0.2">
      <c r="A37" s="55"/>
      <c r="B37" s="55"/>
    </row>
    <row r="38" spans="1:2" x14ac:dyDescent="0.2">
      <c r="A38" s="55"/>
      <c r="B38" s="55"/>
    </row>
    <row r="39" spans="1:2" x14ac:dyDescent="0.2">
      <c r="A39" s="55"/>
      <c r="B39" s="55"/>
    </row>
    <row r="40" spans="1:2" x14ac:dyDescent="0.2">
      <c r="A40" s="55"/>
      <c r="B40" s="55"/>
    </row>
    <row r="41" spans="1:2" x14ac:dyDescent="0.2">
      <c r="A41" s="55"/>
      <c r="B41" s="55"/>
    </row>
    <row r="42" spans="1:2" x14ac:dyDescent="0.2">
      <c r="A42" s="55"/>
      <c r="B42" s="55"/>
    </row>
    <row r="43" spans="1:2" x14ac:dyDescent="0.2">
      <c r="A43" s="55"/>
      <c r="B43" s="55"/>
    </row>
    <row r="44" spans="1:2" x14ac:dyDescent="0.2">
      <c r="A44" s="55"/>
      <c r="B44" s="55"/>
    </row>
    <row r="45" spans="1:2" x14ac:dyDescent="0.2">
      <c r="A45" s="55"/>
      <c r="B45" s="55"/>
    </row>
    <row r="46" spans="1:2" x14ac:dyDescent="0.2">
      <c r="A46" s="55"/>
      <c r="B46" s="55"/>
    </row>
    <row r="47" spans="1:2" x14ac:dyDescent="0.2">
      <c r="A47" s="55"/>
      <c r="B47" s="55"/>
    </row>
    <row r="48" spans="1:2" x14ac:dyDescent="0.2">
      <c r="A48" s="55"/>
      <c r="B48" s="55"/>
    </row>
    <row r="49" spans="1:2" x14ac:dyDescent="0.2">
      <c r="A49" s="55"/>
      <c r="B49" s="55"/>
    </row>
    <row r="50" spans="1:2" x14ac:dyDescent="0.2">
      <c r="A50" s="55"/>
      <c r="B50" s="55"/>
    </row>
  </sheetData>
  <mergeCells count="6">
    <mergeCell ref="F24:I24"/>
    <mergeCell ref="F22:I22"/>
    <mergeCell ref="A4:B4"/>
    <mergeCell ref="F1:I1"/>
    <mergeCell ref="F20:I20"/>
    <mergeCell ref="F23:I2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61442" r:id="rId3">
          <objectPr defaultSize="0" autoPict="0" r:id="rId4">
            <anchor moveWithCells="1" sizeWithCells="1">
              <from>
                <xdr:col>5</xdr:col>
                <xdr:colOff>85725</xdr:colOff>
                <xdr:row>1</xdr:row>
                <xdr:rowOff>95250</xdr:rowOff>
              </from>
              <to>
                <xdr:col>8</xdr:col>
                <xdr:colOff>723900</xdr:colOff>
                <xdr:row>17</xdr:row>
                <xdr:rowOff>114300</xdr:rowOff>
              </to>
            </anchor>
          </objectPr>
        </oleObject>
      </mc:Choice>
      <mc:Fallback>
        <oleObject progId="Equation.DSMT4" shapeId="61442" r:id="rId3"/>
      </mc:Fallback>
    </mc:AlternateContent>
    <mc:AlternateContent xmlns:mc="http://schemas.openxmlformats.org/markup-compatibility/2006">
      <mc:Choice Requires="x14">
        <oleObject progId="Equation.DSMT4" shapeId="61443" r:id="rId5">
          <objectPr defaultSize="0" autoPict="0" r:id="rId6">
            <anchor moveWithCells="1" sizeWithCells="1">
              <from>
                <xdr:col>7</xdr:col>
                <xdr:colOff>619125</xdr:colOff>
                <xdr:row>19</xdr:row>
                <xdr:rowOff>47625</xdr:rowOff>
              </from>
              <to>
                <xdr:col>8</xdr:col>
                <xdr:colOff>9525</xdr:colOff>
                <xdr:row>19</xdr:row>
                <xdr:rowOff>209550</xdr:rowOff>
              </to>
            </anchor>
          </objectPr>
        </oleObject>
      </mc:Choice>
      <mc:Fallback>
        <oleObject progId="Equation.DSMT4" shapeId="61443" r:id="rId5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2"/>
  <sheetViews>
    <sheetView topLeftCell="A25" zoomScale="130" zoomScaleNormal="130" workbookViewId="0">
      <selection activeCell="B6" sqref="B6:B15"/>
    </sheetView>
  </sheetViews>
  <sheetFormatPr defaultRowHeight="15" x14ac:dyDescent="0.2"/>
  <cols>
    <col min="1" max="1" width="7.77734375" customWidth="1"/>
    <col min="2" max="2" width="8" customWidth="1"/>
    <col min="3" max="3" width="22.6640625" customWidth="1"/>
    <col min="4" max="4" width="11.21875" customWidth="1"/>
    <col min="5" max="5" width="2.6640625" customWidth="1"/>
    <col min="10" max="10" width="9.6640625" customWidth="1"/>
  </cols>
  <sheetData>
    <row r="1" spans="1:10" ht="15.75" x14ac:dyDescent="0.25">
      <c r="A1" s="131" t="s">
        <v>299</v>
      </c>
      <c r="B1" s="124"/>
      <c r="C1" s="124"/>
      <c r="D1" s="124"/>
    </row>
    <row r="2" spans="1:10" ht="15.75" x14ac:dyDescent="0.25">
      <c r="A2" s="131" t="s">
        <v>271</v>
      </c>
      <c r="B2" s="124"/>
      <c r="C2" s="124"/>
      <c r="D2" s="124"/>
    </row>
    <row r="3" spans="1:10" ht="15.75" thickBot="1" x14ac:dyDescent="0.25"/>
    <row r="4" spans="1:10" ht="19.5" thickBot="1" x14ac:dyDescent="0.4">
      <c r="A4" s="349" t="s">
        <v>268</v>
      </c>
      <c r="B4" s="350"/>
      <c r="C4" s="109" t="s">
        <v>270</v>
      </c>
      <c r="D4" s="124">
        <f>INTERCEPT(B$6:B$57,A$6:A$57)</f>
        <v>12.215645908389092</v>
      </c>
      <c r="F4" s="353" t="s">
        <v>273</v>
      </c>
      <c r="G4" s="354"/>
      <c r="H4" s="354"/>
      <c r="I4" s="354"/>
      <c r="J4" s="355"/>
    </row>
    <row r="5" spans="1:10" ht="16.5" thickBot="1" x14ac:dyDescent="0.3">
      <c r="A5" s="259" t="s">
        <v>42</v>
      </c>
      <c r="B5" s="260" t="s">
        <v>206</v>
      </c>
      <c r="F5" s="25"/>
      <c r="G5" s="26"/>
      <c r="H5" s="26"/>
      <c r="I5" s="26"/>
      <c r="J5" s="27"/>
    </row>
    <row r="6" spans="1:10" ht="18.75" x14ac:dyDescent="0.35">
      <c r="A6" s="55">
        <v>53</v>
      </c>
      <c r="B6" s="55">
        <v>58</v>
      </c>
      <c r="C6" s="109" t="s">
        <v>272</v>
      </c>
      <c r="D6" s="124">
        <f xml:space="preserve"> SLOPE(B$6:B$57,A$6:A$57)</f>
        <v>0.80038232482905669</v>
      </c>
      <c r="F6" s="28"/>
      <c r="G6" s="29"/>
      <c r="H6" s="29"/>
      <c r="I6" s="29"/>
      <c r="J6" s="30"/>
    </row>
    <row r="7" spans="1:10" x14ac:dyDescent="0.2">
      <c r="A7" s="55">
        <v>78</v>
      </c>
      <c r="B7" s="55">
        <v>79</v>
      </c>
      <c r="F7" s="28"/>
      <c r="G7" s="29"/>
      <c r="H7" s="29"/>
      <c r="I7" s="29"/>
      <c r="J7" s="30"/>
    </row>
    <row r="8" spans="1:10" ht="15.75" x14ac:dyDescent="0.25">
      <c r="A8" s="55">
        <v>53</v>
      </c>
      <c r="B8" s="55">
        <v>51</v>
      </c>
      <c r="C8" s="109" t="s">
        <v>137</v>
      </c>
      <c r="D8" s="131">
        <f>COUNT(B$6:B$57)</f>
        <v>10</v>
      </c>
      <c r="F8" s="28"/>
      <c r="G8" s="29"/>
      <c r="H8" s="29"/>
      <c r="I8" s="29"/>
      <c r="J8" s="30"/>
    </row>
    <row r="9" spans="1:10" x14ac:dyDescent="0.2">
      <c r="A9" s="55">
        <v>74</v>
      </c>
      <c r="B9" s="55">
        <v>78</v>
      </c>
      <c r="F9" s="28"/>
      <c r="G9" s="29"/>
      <c r="H9" s="29"/>
      <c r="I9" s="29"/>
      <c r="J9" s="30"/>
    </row>
    <row r="10" spans="1:10" ht="15.75" x14ac:dyDescent="0.25">
      <c r="A10" s="55">
        <v>79</v>
      </c>
      <c r="B10" s="55">
        <v>66</v>
      </c>
      <c r="C10" s="109" t="s">
        <v>287</v>
      </c>
      <c r="D10" s="131">
        <f>D8-2</f>
        <v>8</v>
      </c>
      <c r="F10" s="28"/>
      <c r="G10" s="29"/>
      <c r="H10" s="29"/>
      <c r="I10" s="29"/>
      <c r="J10" s="30"/>
    </row>
    <row r="11" spans="1:10" x14ac:dyDescent="0.2">
      <c r="A11" s="55">
        <v>53</v>
      </c>
      <c r="B11" s="55">
        <v>50</v>
      </c>
      <c r="F11" s="28"/>
      <c r="G11" s="29"/>
      <c r="H11" s="29"/>
      <c r="I11" s="29"/>
      <c r="J11" s="30"/>
    </row>
    <row r="12" spans="1:10" ht="15.75" x14ac:dyDescent="0.25">
      <c r="A12" s="55">
        <v>80</v>
      </c>
      <c r="B12" s="55">
        <v>76</v>
      </c>
      <c r="C12" s="109" t="s">
        <v>286</v>
      </c>
      <c r="D12" s="273">
        <f>CORREL(A$6:A$57,B$6:B$57)</f>
        <v>0.89423026092442492</v>
      </c>
      <c r="F12" s="28"/>
      <c r="G12" s="29"/>
      <c r="H12" s="29"/>
      <c r="I12" s="29"/>
      <c r="J12" s="30"/>
    </row>
    <row r="13" spans="1:10" x14ac:dyDescent="0.2">
      <c r="A13" s="55">
        <v>53</v>
      </c>
      <c r="B13" s="55">
        <v>58</v>
      </c>
      <c r="F13" s="28"/>
      <c r="G13" s="29"/>
      <c r="H13" s="29"/>
      <c r="I13" s="29"/>
      <c r="J13" s="30"/>
    </row>
    <row r="14" spans="1:10" ht="15.75" x14ac:dyDescent="0.25">
      <c r="A14" s="55">
        <v>58</v>
      </c>
      <c r="B14" s="55">
        <v>61</v>
      </c>
      <c r="C14" s="109" t="s">
        <v>278</v>
      </c>
      <c r="F14" s="28"/>
      <c r="G14" s="29"/>
      <c r="H14" s="29"/>
      <c r="I14" s="29"/>
      <c r="J14" s="30"/>
    </row>
    <row r="15" spans="1:10" ht="15.75" x14ac:dyDescent="0.25">
      <c r="A15" s="55">
        <v>56</v>
      </c>
      <c r="B15" s="55">
        <v>55</v>
      </c>
      <c r="C15" s="205" t="s">
        <v>233</v>
      </c>
      <c r="D15" s="131">
        <f>_xlfn.STDEV.S(B$6:B$57)^2*(D$8-1)</f>
        <v>1089.5999999999988</v>
      </c>
      <c r="F15" s="28"/>
      <c r="G15" s="29"/>
      <c r="H15" s="29"/>
      <c r="I15" s="29"/>
      <c r="J15" s="30"/>
    </row>
    <row r="16" spans="1:10" x14ac:dyDescent="0.2">
      <c r="A16" s="55"/>
      <c r="B16" s="55"/>
      <c r="F16" s="28"/>
      <c r="G16" s="29"/>
      <c r="H16" s="29"/>
      <c r="I16" s="29"/>
      <c r="J16" s="30"/>
    </row>
    <row r="17" spans="1:10" ht="15.75" x14ac:dyDescent="0.25">
      <c r="A17" s="55"/>
      <c r="B17" s="55"/>
      <c r="C17" s="109" t="s">
        <v>279</v>
      </c>
      <c r="D17" s="273">
        <f>D15*D12^2</f>
        <v>871.29619880890982</v>
      </c>
      <c r="F17" s="28"/>
      <c r="G17" s="29"/>
      <c r="H17" s="29"/>
      <c r="I17" s="29"/>
      <c r="J17" s="30"/>
    </row>
    <row r="18" spans="1:10" ht="15.75" x14ac:dyDescent="0.25">
      <c r="A18" s="55"/>
      <c r="B18" s="55"/>
      <c r="C18" s="1"/>
      <c r="F18" s="28"/>
      <c r="G18" s="29"/>
      <c r="H18" s="29"/>
      <c r="I18" s="29"/>
      <c r="J18" s="30"/>
    </row>
    <row r="19" spans="1:10" ht="15.75" x14ac:dyDescent="0.25">
      <c r="A19" s="55"/>
      <c r="B19" s="55"/>
      <c r="C19" s="109" t="s">
        <v>280</v>
      </c>
      <c r="D19" s="273">
        <f>D15-D17</f>
        <v>218.30380119108895</v>
      </c>
      <c r="F19" s="28"/>
      <c r="G19" s="29"/>
      <c r="H19" s="29"/>
      <c r="I19" s="29"/>
      <c r="J19" s="30"/>
    </row>
    <row r="20" spans="1:10" x14ac:dyDescent="0.2">
      <c r="A20" s="55"/>
      <c r="B20" s="55"/>
      <c r="F20" s="28"/>
      <c r="G20" s="29"/>
      <c r="H20" s="29"/>
      <c r="I20" s="29"/>
      <c r="J20" s="30"/>
    </row>
    <row r="21" spans="1:10" ht="15.75" x14ac:dyDescent="0.25">
      <c r="A21" s="55"/>
      <c r="B21" s="55"/>
      <c r="C21" s="268" t="s">
        <v>233</v>
      </c>
      <c r="D21" s="273">
        <f>AVERAGE(A$6:A$57)</f>
        <v>63.7</v>
      </c>
      <c r="F21" s="28"/>
      <c r="G21" s="29"/>
      <c r="H21" s="29"/>
      <c r="I21" s="29"/>
      <c r="J21" s="30"/>
    </row>
    <row r="22" spans="1:10" ht="15.75" x14ac:dyDescent="0.25">
      <c r="A22" s="55"/>
      <c r="B22" s="55"/>
      <c r="C22" s="122" t="s">
        <v>233</v>
      </c>
      <c r="D22" s="131">
        <f>AVERAGE(B$6:B$57)</f>
        <v>63.2</v>
      </c>
      <c r="F22" s="28"/>
      <c r="G22" s="29"/>
      <c r="H22" s="29"/>
      <c r="I22" s="29"/>
      <c r="J22" s="30"/>
    </row>
    <row r="23" spans="1:10" x14ac:dyDescent="0.2">
      <c r="A23" s="55"/>
      <c r="B23" s="55"/>
      <c r="F23" s="28"/>
      <c r="G23" s="29"/>
      <c r="H23" s="29"/>
      <c r="I23" s="29"/>
      <c r="J23" s="30"/>
    </row>
    <row r="24" spans="1:10" ht="19.5" thickBot="1" x14ac:dyDescent="0.4">
      <c r="A24" s="55"/>
      <c r="B24" s="55"/>
      <c r="C24" s="109" t="s">
        <v>282</v>
      </c>
      <c r="D24" s="273">
        <f>SQRT(D19/D10)</f>
        <v>5.2237893476753179</v>
      </c>
      <c r="F24" s="31"/>
      <c r="G24" s="24"/>
      <c r="H24" s="24"/>
      <c r="I24" s="24"/>
      <c r="J24" s="32"/>
    </row>
    <row r="25" spans="1:10" ht="16.5" thickBot="1" x14ac:dyDescent="0.3">
      <c r="A25" s="55"/>
      <c r="B25" s="55"/>
      <c r="C25" s="1"/>
      <c r="D25" s="1"/>
    </row>
    <row r="26" spans="1:10" ht="16.5" thickBot="1" x14ac:dyDescent="0.3">
      <c r="A26" s="55"/>
      <c r="B26" s="55"/>
      <c r="C26" s="205" t="s">
        <v>233</v>
      </c>
      <c r="D26" s="273">
        <f>_xlfn.STDEV.S(A$6:A$57)^2*(D$8-1)</f>
        <v>1360.0999999999985</v>
      </c>
      <c r="F26" s="353" t="s">
        <v>316</v>
      </c>
      <c r="G26" s="354"/>
      <c r="H26" s="354"/>
      <c r="I26" s="354"/>
      <c r="J26" s="355"/>
    </row>
    <row r="27" spans="1:10" ht="15.75" x14ac:dyDescent="0.25">
      <c r="A27" s="55"/>
      <c r="B27" s="55"/>
      <c r="C27" s="1"/>
      <c r="D27" s="1"/>
      <c r="F27" s="25"/>
      <c r="G27" s="26"/>
      <c r="H27" s="26"/>
      <c r="I27" s="26"/>
      <c r="J27" s="27"/>
    </row>
    <row r="28" spans="1:10" ht="19.5" x14ac:dyDescent="0.35">
      <c r="A28" s="55"/>
      <c r="B28" s="55"/>
      <c r="C28" s="109" t="s">
        <v>289</v>
      </c>
      <c r="D28" s="277">
        <f>D24/SQRT(D26)</f>
        <v>0.14164466941354059</v>
      </c>
      <c r="F28" s="299"/>
      <c r="G28" s="29"/>
      <c r="H28" s="29"/>
      <c r="I28" s="300" t="s">
        <v>281</v>
      </c>
      <c r="J28" s="306">
        <v>0.95</v>
      </c>
    </row>
    <row r="29" spans="1:10" ht="15.75" x14ac:dyDescent="0.25">
      <c r="A29" s="55"/>
      <c r="B29" s="55"/>
      <c r="F29" s="28"/>
      <c r="G29" s="29"/>
      <c r="H29" s="29"/>
      <c r="I29" s="300" t="s">
        <v>284</v>
      </c>
      <c r="J29" s="307">
        <f>1-J28</f>
        <v>5.0000000000000044E-2</v>
      </c>
    </row>
    <row r="30" spans="1:10" ht="15.75" x14ac:dyDescent="0.25">
      <c r="A30" s="55"/>
      <c r="B30" s="55"/>
      <c r="F30" s="28"/>
      <c r="G30" s="29"/>
      <c r="H30" s="29"/>
      <c r="I30" s="300" t="s">
        <v>285</v>
      </c>
      <c r="J30" s="307">
        <f>J29/2</f>
        <v>2.5000000000000022E-2</v>
      </c>
    </row>
    <row r="31" spans="1:10" ht="18.75" x14ac:dyDescent="0.35">
      <c r="A31" s="55"/>
      <c r="B31" s="55"/>
      <c r="F31" s="28"/>
      <c r="G31" s="29"/>
      <c r="H31" s="29"/>
      <c r="I31" s="300" t="s">
        <v>283</v>
      </c>
      <c r="J31" s="308">
        <f>_xlfn.T.INV(1-$J$30,$D$10)</f>
        <v>2.3060041352041662</v>
      </c>
    </row>
    <row r="32" spans="1:10" ht="15.75" x14ac:dyDescent="0.25">
      <c r="A32" s="55"/>
      <c r="B32" s="55"/>
      <c r="F32" s="28"/>
      <c r="G32" s="29"/>
      <c r="H32" s="29"/>
      <c r="I32" s="300"/>
      <c r="J32" s="275"/>
    </row>
    <row r="33" spans="1:10" ht="15.75" x14ac:dyDescent="0.25">
      <c r="A33" s="55"/>
      <c r="B33" s="55"/>
      <c r="F33" s="28"/>
      <c r="G33" s="29"/>
      <c r="H33" s="29"/>
      <c r="I33" s="300"/>
      <c r="J33" s="275"/>
    </row>
    <row r="34" spans="1:10" ht="15.75" x14ac:dyDescent="0.25">
      <c r="A34" s="55"/>
      <c r="B34" s="55"/>
      <c r="C34" s="29"/>
      <c r="D34" s="269"/>
      <c r="F34" s="28"/>
      <c r="G34" s="29"/>
      <c r="H34" s="29"/>
      <c r="I34" s="29"/>
      <c r="J34" s="30"/>
    </row>
    <row r="35" spans="1:10" x14ac:dyDescent="0.2">
      <c r="A35" s="55"/>
      <c r="B35" s="55"/>
      <c r="F35" s="28"/>
      <c r="G35" s="29"/>
      <c r="H35" s="29"/>
      <c r="I35" s="29"/>
      <c r="J35" s="30"/>
    </row>
    <row r="36" spans="1:10" ht="15.75" thickBot="1" x14ac:dyDescent="0.25">
      <c r="A36" s="55"/>
      <c r="B36" s="55"/>
      <c r="F36" s="28"/>
      <c r="G36" s="29"/>
      <c r="H36" s="29"/>
      <c r="I36" s="29"/>
      <c r="J36" s="30"/>
    </row>
    <row r="37" spans="1:10" ht="16.5" thickBot="1" x14ac:dyDescent="0.3">
      <c r="A37" s="55"/>
      <c r="B37" s="55"/>
      <c r="C37" s="1"/>
      <c r="D37" s="1"/>
      <c r="F37" s="28"/>
      <c r="G37" s="359" t="s">
        <v>215</v>
      </c>
      <c r="H37" s="360"/>
      <c r="I37" s="361"/>
      <c r="J37" s="30"/>
    </row>
    <row r="38" spans="1:10" ht="15.75" x14ac:dyDescent="0.25">
      <c r="A38" s="55"/>
      <c r="B38" s="55"/>
      <c r="F38" s="299" t="s">
        <v>171</v>
      </c>
      <c r="G38" s="301">
        <f>D$6-J$31*D$28</f>
        <v>0.47374913143180503</v>
      </c>
      <c r="H38" s="302" t="s">
        <v>318</v>
      </c>
      <c r="I38" s="301">
        <f>D$6+J$31*D$28</f>
        <v>1.1270155182263084</v>
      </c>
      <c r="J38" s="274" t="s">
        <v>173</v>
      </c>
    </row>
    <row r="39" spans="1:10" ht="16.5" thickBot="1" x14ac:dyDescent="0.3">
      <c r="A39" s="55"/>
      <c r="B39" s="55"/>
      <c r="C39" s="1"/>
      <c r="D39" s="1"/>
      <c r="F39" s="31"/>
      <c r="G39" s="24"/>
      <c r="H39" s="24"/>
      <c r="I39" s="24"/>
      <c r="J39" s="32"/>
    </row>
    <row r="40" spans="1:10" ht="15.75" thickBot="1" x14ac:dyDescent="0.25">
      <c r="A40" s="55"/>
      <c r="B40" s="55"/>
    </row>
    <row r="41" spans="1:10" ht="16.5" thickBot="1" x14ac:dyDescent="0.3">
      <c r="A41" s="55"/>
      <c r="B41" s="55"/>
      <c r="F41" s="353" t="s">
        <v>317</v>
      </c>
      <c r="G41" s="354"/>
      <c r="H41" s="354"/>
      <c r="I41" s="354"/>
      <c r="J41" s="355"/>
    </row>
    <row r="42" spans="1:10" x14ac:dyDescent="0.2">
      <c r="A42" s="55"/>
      <c r="B42" s="55"/>
      <c r="F42" s="28"/>
      <c r="G42" s="29"/>
      <c r="H42" s="29"/>
      <c r="I42" s="29"/>
      <c r="J42" s="30"/>
    </row>
    <row r="43" spans="1:10" ht="15.75" x14ac:dyDescent="0.25">
      <c r="A43" s="55"/>
      <c r="B43" s="55"/>
      <c r="F43" s="299"/>
      <c r="G43" s="300" t="s">
        <v>298</v>
      </c>
      <c r="H43" s="29"/>
      <c r="I43" s="138" t="s">
        <v>319</v>
      </c>
      <c r="J43" s="274"/>
    </row>
    <row r="44" spans="1:10" ht="18.75" x14ac:dyDescent="0.35">
      <c r="A44" s="55"/>
      <c r="B44" s="55"/>
      <c r="F44" s="28"/>
      <c r="G44" s="29"/>
      <c r="H44" s="29"/>
      <c r="I44" s="138" t="s">
        <v>320</v>
      </c>
      <c r="J44" s="274"/>
    </row>
    <row r="45" spans="1:10" ht="15.75" x14ac:dyDescent="0.25">
      <c r="A45" s="55"/>
      <c r="B45" s="55"/>
      <c r="F45" s="28"/>
      <c r="G45" s="29"/>
      <c r="H45" s="29"/>
      <c r="I45" s="138" t="s">
        <v>321</v>
      </c>
      <c r="J45" s="274"/>
    </row>
    <row r="46" spans="1:10" ht="15.75" x14ac:dyDescent="0.25">
      <c r="A46" s="55"/>
      <c r="B46" s="55"/>
      <c r="F46" s="28"/>
      <c r="G46" s="29"/>
      <c r="H46" s="29"/>
      <c r="I46" s="138" t="s">
        <v>322</v>
      </c>
      <c r="J46" s="275"/>
    </row>
    <row r="47" spans="1:10" ht="15.75" x14ac:dyDescent="0.25">
      <c r="A47" s="55"/>
      <c r="B47" s="55"/>
      <c r="F47" s="28"/>
      <c r="G47" s="29"/>
      <c r="H47" s="29"/>
      <c r="I47" s="138" t="s">
        <v>323</v>
      </c>
      <c r="J47" s="30"/>
    </row>
    <row r="48" spans="1:10" ht="15.75" x14ac:dyDescent="0.25">
      <c r="A48" s="55"/>
      <c r="B48" s="55"/>
      <c r="F48" s="28"/>
      <c r="G48" s="29"/>
      <c r="H48" s="29"/>
      <c r="I48" s="104" t="s">
        <v>324</v>
      </c>
      <c r="J48" s="30"/>
    </row>
    <row r="49" spans="1:10" ht="15.75" x14ac:dyDescent="0.25">
      <c r="A49" s="55"/>
      <c r="B49" s="55"/>
      <c r="F49" s="28"/>
      <c r="G49" s="29"/>
      <c r="H49" s="300"/>
      <c r="I49" s="104" t="s">
        <v>325</v>
      </c>
      <c r="J49" s="30"/>
    </row>
    <row r="50" spans="1:10" ht="16.5" thickBot="1" x14ac:dyDescent="0.3">
      <c r="A50" s="55"/>
      <c r="B50" s="55"/>
      <c r="F50" s="28"/>
      <c r="G50" s="29"/>
      <c r="H50" s="276"/>
      <c r="I50" s="104"/>
      <c r="J50" s="30"/>
    </row>
    <row r="51" spans="1:10" ht="16.5" thickBot="1" x14ac:dyDescent="0.3">
      <c r="A51" s="55"/>
      <c r="B51" s="55"/>
      <c r="F51" s="28"/>
      <c r="G51" s="29"/>
      <c r="H51" s="300" t="s">
        <v>330</v>
      </c>
      <c r="I51" s="305">
        <v>1</v>
      </c>
      <c r="J51" s="30"/>
    </row>
    <row r="52" spans="1:10" x14ac:dyDescent="0.2">
      <c r="A52" s="55"/>
      <c r="B52" s="55"/>
      <c r="F52" s="28"/>
      <c r="G52" s="29"/>
      <c r="H52" s="29"/>
      <c r="I52" s="29"/>
      <c r="J52" s="30"/>
    </row>
    <row r="53" spans="1:10" ht="15.75" x14ac:dyDescent="0.25">
      <c r="A53" s="53"/>
      <c r="B53" s="53"/>
      <c r="F53" s="28"/>
      <c r="G53" s="29"/>
      <c r="H53" s="300" t="s">
        <v>331</v>
      </c>
      <c r="I53" s="310">
        <f>(D6-I51)/D28</f>
        <v>-1.4092847686921903</v>
      </c>
      <c r="J53" s="30"/>
    </row>
    <row r="54" spans="1:10" x14ac:dyDescent="0.2">
      <c r="A54" s="53"/>
      <c r="B54" s="53"/>
      <c r="F54" s="28"/>
      <c r="G54" s="29"/>
      <c r="H54" s="29"/>
      <c r="I54" s="29"/>
      <c r="J54" s="30"/>
    </row>
    <row r="55" spans="1:10" ht="15.75" x14ac:dyDescent="0.25">
      <c r="A55" s="53"/>
      <c r="B55" s="53"/>
      <c r="F55" s="28"/>
      <c r="G55" s="29"/>
      <c r="H55" s="300" t="s">
        <v>284</v>
      </c>
      <c r="I55" s="311">
        <v>0.1</v>
      </c>
      <c r="J55" s="241"/>
    </row>
    <row r="56" spans="1:10" ht="15.75" thickBot="1" x14ac:dyDescent="0.25">
      <c r="A56" s="53"/>
      <c r="B56" s="53"/>
      <c r="F56" s="28"/>
      <c r="G56" s="29"/>
      <c r="H56" s="29"/>
      <c r="I56" s="29"/>
      <c r="J56" s="30"/>
    </row>
    <row r="57" spans="1:10" ht="16.5" thickBot="1" x14ac:dyDescent="0.3">
      <c r="A57" s="53"/>
      <c r="B57" s="53"/>
      <c r="F57" s="28"/>
      <c r="G57" s="356" t="s">
        <v>239</v>
      </c>
      <c r="H57" s="357"/>
      <c r="I57" s="358"/>
      <c r="J57" s="30"/>
    </row>
    <row r="58" spans="1:10" ht="15.75" x14ac:dyDescent="0.25">
      <c r="F58" s="28"/>
      <c r="G58" s="91" t="s">
        <v>194</v>
      </c>
      <c r="H58" s="91" t="s">
        <v>333</v>
      </c>
      <c r="I58" s="91" t="s">
        <v>334</v>
      </c>
      <c r="J58" s="30"/>
    </row>
    <row r="59" spans="1:10" ht="15.75" x14ac:dyDescent="0.25">
      <c r="F59" s="28"/>
      <c r="G59" s="11" t="s">
        <v>332</v>
      </c>
      <c r="H59" s="11" t="s">
        <v>332</v>
      </c>
      <c r="I59" s="11" t="s">
        <v>332</v>
      </c>
      <c r="J59" s="30"/>
    </row>
    <row r="60" spans="1:10" ht="15.75" x14ac:dyDescent="0.25">
      <c r="F60" s="28"/>
      <c r="G60" s="18">
        <f>_xlfn.T.INV($I$55,$D$10)</f>
        <v>-1.3968153097438645</v>
      </c>
      <c r="H60" s="18">
        <f>_xlfn.T.INV($I$55/2,$D$10)</f>
        <v>-1.8595480375308981</v>
      </c>
      <c r="I60" s="18">
        <f>_xlfn.T.INV(1-$I$55,$D$10)</f>
        <v>1.3968153097438649</v>
      </c>
      <c r="J60" s="30"/>
    </row>
    <row r="61" spans="1:10" ht="16.5" thickBot="1" x14ac:dyDescent="0.3">
      <c r="F61" s="28"/>
      <c r="G61" s="9"/>
      <c r="H61" s="309">
        <f>_xlfn.T.INV(1-$I$55/2,$D$10)</f>
        <v>1.8595480375308975</v>
      </c>
      <c r="I61" s="9"/>
      <c r="J61" s="30"/>
    </row>
    <row r="62" spans="1:10" ht="15.75" thickBot="1" x14ac:dyDescent="0.25">
      <c r="F62" s="31"/>
      <c r="G62" s="24"/>
      <c r="H62" s="24"/>
      <c r="I62" s="24"/>
      <c r="J62" s="32"/>
    </row>
  </sheetData>
  <mergeCells count="6">
    <mergeCell ref="G57:I57"/>
    <mergeCell ref="A4:B4"/>
    <mergeCell ref="F4:J4"/>
    <mergeCell ref="F26:J26"/>
    <mergeCell ref="F41:J41"/>
    <mergeCell ref="G37:I37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73731" r:id="rId4">
          <objectPr defaultSize="0" autoPict="0" r:id="rId5">
            <anchor moveWithCells="1" sizeWithCells="1">
              <from>
                <xdr:col>2</xdr:col>
                <xdr:colOff>1666875</xdr:colOff>
                <xdr:row>20</xdr:row>
                <xdr:rowOff>9525</xdr:rowOff>
              </from>
              <to>
                <xdr:col>2</xdr:col>
                <xdr:colOff>1809750</xdr:colOff>
                <xdr:row>20</xdr:row>
                <xdr:rowOff>171450</xdr:rowOff>
              </to>
            </anchor>
          </objectPr>
        </oleObject>
      </mc:Choice>
      <mc:Fallback>
        <oleObject progId="Equation.DSMT4" shapeId="73731" r:id="rId4"/>
      </mc:Fallback>
    </mc:AlternateContent>
    <mc:AlternateContent xmlns:mc="http://schemas.openxmlformats.org/markup-compatibility/2006">
      <mc:Choice Requires="x14">
        <oleObject progId="Equation.DSMT4" shapeId="73733" r:id="rId6">
          <objectPr defaultSize="0" autoPict="0" r:id="rId7">
            <anchor moveWithCells="1" sizeWithCells="1">
              <from>
                <xdr:col>2</xdr:col>
                <xdr:colOff>1666875</xdr:colOff>
                <xdr:row>20</xdr:row>
                <xdr:rowOff>190500</xdr:rowOff>
              </from>
              <to>
                <xdr:col>2</xdr:col>
                <xdr:colOff>1809750</xdr:colOff>
                <xdr:row>21</xdr:row>
                <xdr:rowOff>190500</xdr:rowOff>
              </to>
            </anchor>
          </objectPr>
        </oleObject>
      </mc:Choice>
      <mc:Fallback>
        <oleObject progId="Equation.DSMT4" shapeId="73733" r:id="rId6"/>
      </mc:Fallback>
    </mc:AlternateContent>
    <mc:AlternateContent xmlns:mc="http://schemas.openxmlformats.org/markup-compatibility/2006">
      <mc:Choice Requires="x14">
        <oleObject progId="Equation.DSMT4" shapeId="73734" r:id="rId8">
          <objectPr defaultSize="0" autoPict="0" r:id="rId9">
            <anchor moveWithCells="1" sizeWithCells="1">
              <from>
                <xdr:col>5</xdr:col>
                <xdr:colOff>66675</xdr:colOff>
                <xdr:row>4</xdr:row>
                <xdr:rowOff>171450</xdr:rowOff>
              </from>
              <to>
                <xdr:col>9</xdr:col>
                <xdr:colOff>762000</xdr:colOff>
                <xdr:row>22</xdr:row>
                <xdr:rowOff>9525</xdr:rowOff>
              </to>
            </anchor>
          </objectPr>
        </oleObject>
      </mc:Choice>
      <mc:Fallback>
        <oleObject progId="Equation.DSMT4" shapeId="73734" r:id="rId8"/>
      </mc:Fallback>
    </mc:AlternateContent>
    <mc:AlternateContent xmlns:mc="http://schemas.openxmlformats.org/markup-compatibility/2006">
      <mc:Choice Requires="x14">
        <oleObject progId="Equation.DSMT4" shapeId="73735" r:id="rId10">
          <objectPr defaultSize="0" autoPict="0" r:id="rId11">
            <anchor moveWithCells="1" sizeWithCells="1">
              <from>
                <xdr:col>2</xdr:col>
                <xdr:colOff>257175</xdr:colOff>
                <xdr:row>13</xdr:row>
                <xdr:rowOff>152400</xdr:rowOff>
              </from>
              <to>
                <xdr:col>2</xdr:col>
                <xdr:colOff>1838325</xdr:colOff>
                <xdr:row>15</xdr:row>
                <xdr:rowOff>66675</xdr:rowOff>
              </to>
            </anchor>
          </objectPr>
        </oleObject>
      </mc:Choice>
      <mc:Fallback>
        <oleObject progId="Equation.DSMT4" shapeId="73735" r:id="rId10"/>
      </mc:Fallback>
    </mc:AlternateContent>
    <mc:AlternateContent xmlns:mc="http://schemas.openxmlformats.org/markup-compatibility/2006">
      <mc:Choice Requires="x14">
        <oleObject progId="Equation.DSMT4" shapeId="73737" r:id="rId12">
          <objectPr defaultSize="0" autoPict="0" r:id="rId13">
            <anchor moveWithCells="1" sizeWithCells="1">
              <from>
                <xdr:col>2</xdr:col>
                <xdr:colOff>342900</xdr:colOff>
                <xdr:row>24</xdr:row>
                <xdr:rowOff>133350</xdr:rowOff>
              </from>
              <to>
                <xdr:col>2</xdr:col>
                <xdr:colOff>1819275</xdr:colOff>
                <xdr:row>26</xdr:row>
                <xdr:rowOff>9525</xdr:rowOff>
              </to>
            </anchor>
          </objectPr>
        </oleObject>
      </mc:Choice>
      <mc:Fallback>
        <oleObject progId="Equation.DSMT4" shapeId="73737" r:id="rId12"/>
      </mc:Fallback>
    </mc:AlternateContent>
    <mc:AlternateContent xmlns:mc="http://schemas.openxmlformats.org/markup-compatibility/2006">
      <mc:Choice Requires="x14">
        <oleObject progId="Equation.DSMT4" shapeId="73740" r:id="rId14">
          <objectPr defaultSize="0" autoPict="0" r:id="rId15">
            <anchor moveWithCells="1" sizeWithCells="1">
              <from>
                <xdr:col>2</xdr:col>
                <xdr:colOff>676275</xdr:colOff>
                <xdr:row>26</xdr:row>
                <xdr:rowOff>190500</xdr:rowOff>
              </from>
              <to>
                <xdr:col>2</xdr:col>
                <xdr:colOff>1371600</xdr:colOff>
                <xdr:row>28</xdr:row>
                <xdr:rowOff>28575</xdr:rowOff>
              </to>
            </anchor>
          </objectPr>
        </oleObject>
      </mc:Choice>
      <mc:Fallback>
        <oleObject progId="Equation.DSMT4" shapeId="73740" r:id="rId14"/>
      </mc:Fallback>
    </mc:AlternateContent>
    <mc:AlternateContent xmlns:mc="http://schemas.openxmlformats.org/markup-compatibility/2006">
      <mc:Choice Requires="x14">
        <oleObject progId="Equation.DSMT4" shapeId="73742" r:id="rId16">
          <objectPr defaultSize="0" autoPict="0" r:id="rId17">
            <anchor moveWithCells="1" sizeWithCells="1">
              <from>
                <xdr:col>5</xdr:col>
                <xdr:colOff>466725</xdr:colOff>
                <xdr:row>31</xdr:row>
                <xdr:rowOff>171450</xdr:rowOff>
              </from>
              <to>
                <xdr:col>8</xdr:col>
                <xdr:colOff>457200</xdr:colOff>
                <xdr:row>34</xdr:row>
                <xdr:rowOff>19050</xdr:rowOff>
              </to>
            </anchor>
          </objectPr>
        </oleObject>
      </mc:Choice>
      <mc:Fallback>
        <oleObject progId="Equation.DSMT4" shapeId="73742" r:id="rId16"/>
      </mc:Fallback>
    </mc:AlternateContent>
    <mc:AlternateContent xmlns:mc="http://schemas.openxmlformats.org/markup-compatibility/2006">
      <mc:Choice Requires="x14">
        <oleObject progId="Equation.DSMT4" shapeId="73744" r:id="rId18">
          <objectPr defaultSize="0" autoPict="0" r:id="rId19">
            <anchor moveWithCells="1" sizeWithCells="1">
              <from>
                <xdr:col>5</xdr:col>
                <xdr:colOff>581025</xdr:colOff>
                <xdr:row>43</xdr:row>
                <xdr:rowOff>57150</xdr:rowOff>
              </from>
              <to>
                <xdr:col>6</xdr:col>
                <xdr:colOff>762000</xdr:colOff>
                <xdr:row>47</xdr:row>
                <xdr:rowOff>133350</xdr:rowOff>
              </to>
            </anchor>
          </objectPr>
        </oleObject>
      </mc:Choice>
      <mc:Fallback>
        <oleObject progId="Equation.DSMT4" shapeId="73744" r:id="rId18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zoomScale="140" zoomScaleNormal="140" workbookViewId="0">
      <selection activeCell="J16" sqref="J16"/>
    </sheetView>
  </sheetViews>
  <sheetFormatPr defaultRowHeight="15" x14ac:dyDescent="0.2"/>
  <cols>
    <col min="3" max="3" width="9.88671875" customWidth="1"/>
    <col min="5" max="5" width="5.6640625" customWidth="1"/>
    <col min="6" max="6" width="11.44140625" customWidth="1"/>
  </cols>
  <sheetData>
    <row r="1" spans="1:11" x14ac:dyDescent="0.2">
      <c r="A1" s="262" t="s">
        <v>290</v>
      </c>
      <c r="B1" s="263"/>
      <c r="C1" s="263"/>
      <c r="D1" s="263"/>
      <c r="E1" s="263"/>
      <c r="F1" s="263"/>
      <c r="G1" s="263"/>
      <c r="H1" s="264"/>
    </row>
    <row r="2" spans="1:11" ht="15.75" thickBot="1" x14ac:dyDescent="0.25">
      <c r="A2" s="265" t="s">
        <v>301</v>
      </c>
      <c r="B2" s="266"/>
      <c r="C2" s="266"/>
      <c r="D2" s="266"/>
      <c r="E2" s="266"/>
      <c r="F2" s="266"/>
      <c r="G2" s="266"/>
      <c r="H2" s="267"/>
    </row>
    <row r="3" spans="1:11" ht="16.5" thickBot="1" x14ac:dyDescent="0.3">
      <c r="A3" s="290"/>
      <c r="B3" s="290"/>
      <c r="C3" s="290"/>
      <c r="D3" s="290"/>
      <c r="E3" s="290"/>
      <c r="F3" s="290"/>
      <c r="G3" s="290"/>
      <c r="H3" s="290"/>
      <c r="J3" s="15"/>
      <c r="K3" s="298"/>
    </row>
    <row r="4" spans="1:11" ht="16.5" thickBot="1" x14ac:dyDescent="0.3">
      <c r="A4" s="10" t="s">
        <v>313</v>
      </c>
      <c r="B4" s="298" t="s">
        <v>312</v>
      </c>
      <c r="C4" s="290"/>
      <c r="D4" s="290"/>
      <c r="E4" s="290"/>
      <c r="F4" s="290"/>
      <c r="G4" s="290"/>
      <c r="H4" s="290"/>
      <c r="J4" s="15"/>
      <c r="K4" s="298"/>
    </row>
    <row r="5" spans="1:11" ht="13.5" customHeight="1" x14ac:dyDescent="0.2">
      <c r="A5" s="136"/>
      <c r="B5" s="136"/>
      <c r="C5" s="136"/>
      <c r="D5" s="136"/>
    </row>
    <row r="6" spans="1:11" ht="15.75" customHeight="1" x14ac:dyDescent="0.2">
      <c r="A6" s="270"/>
      <c r="B6" s="270"/>
      <c r="C6" s="270" t="s">
        <v>276</v>
      </c>
      <c r="D6" s="270"/>
    </row>
    <row r="7" spans="1:11" x14ac:dyDescent="0.2">
      <c r="A7" s="261"/>
      <c r="B7" s="261" t="s">
        <v>277</v>
      </c>
      <c r="C7" s="261" t="s">
        <v>291</v>
      </c>
      <c r="D7" s="261" t="s">
        <v>276</v>
      </c>
    </row>
    <row r="8" spans="1:11" ht="15.75" thickBot="1" x14ac:dyDescent="0.25">
      <c r="A8" s="261" t="s">
        <v>274</v>
      </c>
      <c r="B8" s="261" t="s">
        <v>275</v>
      </c>
      <c r="C8" s="261" t="s">
        <v>292</v>
      </c>
      <c r="D8" s="261" t="s">
        <v>275</v>
      </c>
      <c r="F8" s="24"/>
    </row>
    <row r="9" spans="1:11" ht="16.5" thickBot="1" x14ac:dyDescent="0.3">
      <c r="A9" s="55"/>
      <c r="B9" s="55"/>
      <c r="C9" s="55"/>
      <c r="D9" s="303"/>
      <c r="F9" s="187"/>
      <c r="H9" s="328" t="s">
        <v>298</v>
      </c>
      <c r="I9" s="328"/>
      <c r="J9" s="328"/>
    </row>
    <row r="10" spans="1:11" x14ac:dyDescent="0.2">
      <c r="A10" s="55">
        <v>1</v>
      </c>
      <c r="B10" s="55">
        <v>426</v>
      </c>
      <c r="C10" s="55">
        <v>0.31</v>
      </c>
      <c r="D10" s="303">
        <f>C10*B$32</f>
        <v>465</v>
      </c>
      <c r="F10" s="187">
        <f>IF(D10&lt;&gt;0,(B10-D10)^2/D10,0)</f>
        <v>3.2709677419354839</v>
      </c>
      <c r="H10" s="281"/>
      <c r="I10" s="281"/>
    </row>
    <row r="11" spans="1:11" ht="15.75" x14ac:dyDescent="0.25">
      <c r="A11" s="55">
        <v>2</v>
      </c>
      <c r="B11" s="55">
        <v>414</v>
      </c>
      <c r="C11" s="55">
        <v>0.26</v>
      </c>
      <c r="D11" s="303">
        <f t="shared" ref="D11:D29" si="0">C11*B$32</f>
        <v>390</v>
      </c>
      <c r="F11" s="187">
        <f t="shared" ref="F11:F29" si="1">IF(D11&lt;&gt;0,(B11-D11)^2/D11,0)</f>
        <v>1.476923076923077</v>
      </c>
      <c r="H11" s="281"/>
      <c r="I11" s="282" t="s">
        <v>288</v>
      </c>
      <c r="J11" s="278">
        <f>F32</f>
        <v>15.857101345174351</v>
      </c>
    </row>
    <row r="12" spans="1:11" ht="15.75" thickBot="1" x14ac:dyDescent="0.25">
      <c r="A12" s="55">
        <v>3</v>
      </c>
      <c r="B12" s="55">
        <v>333</v>
      </c>
      <c r="C12" s="55">
        <v>0.19</v>
      </c>
      <c r="D12" s="303">
        <f t="shared" si="0"/>
        <v>285</v>
      </c>
      <c r="F12" s="187">
        <f t="shared" si="1"/>
        <v>8.0842105263157897</v>
      </c>
      <c r="H12" s="283"/>
      <c r="I12" s="283"/>
      <c r="J12" s="24"/>
    </row>
    <row r="13" spans="1:11" ht="15.75" thickBot="1" x14ac:dyDescent="0.25">
      <c r="A13" s="55">
        <v>4</v>
      </c>
      <c r="B13" s="55">
        <v>327</v>
      </c>
      <c r="C13" s="55">
        <v>0.24</v>
      </c>
      <c r="D13" s="303">
        <f t="shared" si="0"/>
        <v>360</v>
      </c>
      <c r="F13" s="187">
        <f t="shared" si="1"/>
        <v>3.0249999999999999</v>
      </c>
    </row>
    <row r="14" spans="1:11" ht="16.5" thickBot="1" x14ac:dyDescent="0.3">
      <c r="A14" s="55">
        <v>5</v>
      </c>
      <c r="B14" s="55"/>
      <c r="C14" s="55"/>
      <c r="D14" s="303">
        <f t="shared" si="0"/>
        <v>0</v>
      </c>
      <c r="F14" s="187">
        <f t="shared" si="1"/>
        <v>0</v>
      </c>
      <c r="H14" s="359" t="s">
        <v>297</v>
      </c>
      <c r="I14" s="360"/>
      <c r="J14" s="361"/>
    </row>
    <row r="15" spans="1:11" ht="15.75" x14ac:dyDescent="0.25">
      <c r="A15" s="55">
        <v>6</v>
      </c>
      <c r="B15" s="55"/>
      <c r="C15" s="55"/>
      <c r="D15" s="303">
        <f t="shared" si="0"/>
        <v>0</v>
      </c>
      <c r="F15" s="187">
        <f t="shared" si="1"/>
        <v>0</v>
      </c>
      <c r="H15" s="28"/>
      <c r="I15" s="272" t="s">
        <v>284</v>
      </c>
      <c r="J15" s="306">
        <v>0.01</v>
      </c>
    </row>
    <row r="16" spans="1:11" ht="15.75" x14ac:dyDescent="0.25">
      <c r="A16" s="55">
        <v>7</v>
      </c>
      <c r="B16" s="53"/>
      <c r="C16" s="53"/>
      <c r="D16" s="303">
        <f t="shared" si="0"/>
        <v>0</v>
      </c>
      <c r="F16" s="187">
        <f t="shared" si="1"/>
        <v>0</v>
      </c>
      <c r="H16" s="28"/>
      <c r="I16" s="272" t="s">
        <v>296</v>
      </c>
      <c r="J16" s="307">
        <f>1-J15</f>
        <v>0.99</v>
      </c>
    </row>
    <row r="17" spans="1:12" ht="15.75" x14ac:dyDescent="0.25">
      <c r="A17" s="55">
        <v>8</v>
      </c>
      <c r="B17" s="55"/>
      <c r="C17" s="55"/>
      <c r="D17" s="303">
        <f t="shared" si="0"/>
        <v>0</v>
      </c>
      <c r="F17" s="187">
        <f t="shared" si="1"/>
        <v>0</v>
      </c>
      <c r="H17" s="28"/>
      <c r="I17" s="272" t="s">
        <v>214</v>
      </c>
      <c r="J17" s="307">
        <f>COUNT(B10:B29)-1</f>
        <v>3</v>
      </c>
    </row>
    <row r="18" spans="1:12" ht="16.5" thickBot="1" x14ac:dyDescent="0.3">
      <c r="A18" s="55">
        <v>9</v>
      </c>
      <c r="B18" s="55"/>
      <c r="C18" s="55"/>
      <c r="D18" s="303">
        <f t="shared" si="0"/>
        <v>0</v>
      </c>
      <c r="F18" s="187">
        <f t="shared" si="1"/>
        <v>0</v>
      </c>
      <c r="H18" s="31"/>
      <c r="I18" s="280" t="s">
        <v>295</v>
      </c>
      <c r="J18" s="312">
        <f>_xlfn.CHISQ.INV(J16,J17)</f>
        <v>11.344866730144364</v>
      </c>
    </row>
    <row r="19" spans="1:12" x14ac:dyDescent="0.2">
      <c r="A19" s="55">
        <v>10</v>
      </c>
      <c r="B19" s="53"/>
      <c r="C19" s="53"/>
      <c r="D19" s="303">
        <f t="shared" si="0"/>
        <v>0</v>
      </c>
      <c r="F19" s="187">
        <f t="shared" si="1"/>
        <v>0</v>
      </c>
    </row>
    <row r="20" spans="1:12" x14ac:dyDescent="0.2">
      <c r="A20" s="55">
        <v>11</v>
      </c>
      <c r="B20" s="55"/>
      <c r="C20" s="55"/>
      <c r="D20" s="303">
        <f t="shared" si="0"/>
        <v>0</v>
      </c>
      <c r="F20" s="187">
        <f t="shared" si="1"/>
        <v>0</v>
      </c>
    </row>
    <row r="21" spans="1:12" x14ac:dyDescent="0.2">
      <c r="A21" s="55">
        <v>12</v>
      </c>
      <c r="B21" s="55"/>
      <c r="C21" s="55"/>
      <c r="D21" s="303">
        <f t="shared" si="0"/>
        <v>0</v>
      </c>
      <c r="F21" s="187">
        <f t="shared" si="1"/>
        <v>0</v>
      </c>
    </row>
    <row r="22" spans="1:12" x14ac:dyDescent="0.2">
      <c r="A22" s="55">
        <v>13</v>
      </c>
      <c r="B22" s="53"/>
      <c r="C22" s="53"/>
      <c r="D22" s="303">
        <f t="shared" si="0"/>
        <v>0</v>
      </c>
      <c r="F22" s="187">
        <f t="shared" si="1"/>
        <v>0</v>
      </c>
      <c r="I22" s="29"/>
    </row>
    <row r="23" spans="1:12" x14ac:dyDescent="0.2">
      <c r="A23" s="55">
        <v>14</v>
      </c>
      <c r="B23" s="55"/>
      <c r="C23" s="55"/>
      <c r="D23" s="303">
        <f t="shared" si="0"/>
        <v>0</v>
      </c>
      <c r="F23" s="187">
        <f t="shared" si="1"/>
        <v>0</v>
      </c>
      <c r="I23" s="29"/>
    </row>
    <row r="24" spans="1:12" x14ac:dyDescent="0.2">
      <c r="A24" s="55">
        <v>15</v>
      </c>
      <c r="B24" s="55"/>
      <c r="C24" s="55"/>
      <c r="D24" s="303">
        <f t="shared" si="0"/>
        <v>0</v>
      </c>
      <c r="F24" s="187">
        <f t="shared" si="1"/>
        <v>0</v>
      </c>
      <c r="I24" s="29"/>
    </row>
    <row r="25" spans="1:12" ht="15.75" x14ac:dyDescent="0.25">
      <c r="A25" s="55">
        <v>16</v>
      </c>
      <c r="B25" s="55"/>
      <c r="C25" s="55"/>
      <c r="D25" s="303">
        <f t="shared" si="0"/>
        <v>0</v>
      </c>
      <c r="F25" s="187">
        <f t="shared" si="1"/>
        <v>0</v>
      </c>
      <c r="I25" s="104"/>
    </row>
    <row r="26" spans="1:12" x14ac:dyDescent="0.2">
      <c r="A26" s="55">
        <v>17</v>
      </c>
      <c r="B26" s="55"/>
      <c r="C26" s="55"/>
      <c r="D26" s="303">
        <f t="shared" si="0"/>
        <v>0</v>
      </c>
      <c r="F26" s="187">
        <f t="shared" si="1"/>
        <v>0</v>
      </c>
      <c r="L26" s="122"/>
    </row>
    <row r="27" spans="1:12" x14ac:dyDescent="0.2">
      <c r="A27" s="55">
        <v>18</v>
      </c>
      <c r="B27" s="55"/>
      <c r="C27" s="55"/>
      <c r="D27" s="303">
        <f t="shared" si="0"/>
        <v>0</v>
      </c>
      <c r="F27" s="187">
        <f t="shared" si="1"/>
        <v>0</v>
      </c>
    </row>
    <row r="28" spans="1:12" x14ac:dyDescent="0.2">
      <c r="A28" s="55">
        <v>19</v>
      </c>
      <c r="B28" s="55"/>
      <c r="C28" s="55"/>
      <c r="D28" s="303">
        <f t="shared" si="0"/>
        <v>0</v>
      </c>
      <c r="F28" s="187">
        <f t="shared" si="1"/>
        <v>0</v>
      </c>
      <c r="L28" s="122"/>
    </row>
    <row r="29" spans="1:12" x14ac:dyDescent="0.2">
      <c r="A29" s="55">
        <v>20</v>
      </c>
      <c r="B29" s="55"/>
      <c r="C29" s="55"/>
      <c r="D29" s="303">
        <f t="shared" si="0"/>
        <v>0</v>
      </c>
      <c r="F29" s="187">
        <f t="shared" si="1"/>
        <v>0</v>
      </c>
    </row>
    <row r="30" spans="1:12" x14ac:dyDescent="0.2">
      <c r="A30" s="136"/>
      <c r="B30" s="117"/>
      <c r="C30" s="117"/>
      <c r="D30" s="117"/>
    </row>
    <row r="31" spans="1:12" ht="15.75" x14ac:dyDescent="0.25">
      <c r="A31" s="109" t="s">
        <v>293</v>
      </c>
    </row>
    <row r="32" spans="1:12" ht="15.75" x14ac:dyDescent="0.25">
      <c r="A32" s="109" t="s">
        <v>294</v>
      </c>
      <c r="B32" s="1">
        <f>SUM(B10:B29)</f>
        <v>1500</v>
      </c>
      <c r="C32" s="279">
        <f t="shared" ref="C32:F32" si="2">SUM(C10:C29)</f>
        <v>1</v>
      </c>
      <c r="D32" s="1">
        <f t="shared" si="2"/>
        <v>1500</v>
      </c>
      <c r="F32" s="278">
        <f t="shared" si="2"/>
        <v>15.857101345174351</v>
      </c>
    </row>
  </sheetData>
  <mergeCells count="2">
    <mergeCell ref="H14:J14"/>
    <mergeCell ref="H9:J9"/>
  </mergeCell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87041" r:id="rId4">
          <objectPr defaultSize="0" autoPict="0" r:id="rId5">
            <anchor moveWithCells="1" sizeWithCells="1">
              <from>
                <xdr:col>7</xdr:col>
                <xdr:colOff>323850</xdr:colOff>
                <xdr:row>9</xdr:row>
                <xdr:rowOff>19050</xdr:rowOff>
              </from>
              <to>
                <xdr:col>8</xdr:col>
                <xdr:colOff>619125</xdr:colOff>
                <xdr:row>11</xdr:row>
                <xdr:rowOff>171450</xdr:rowOff>
              </to>
            </anchor>
          </objectPr>
        </oleObject>
      </mc:Choice>
      <mc:Fallback>
        <oleObject progId="Equation.DSMT4" shapeId="87041" r:id="rId4"/>
      </mc:Fallback>
    </mc:AlternateContent>
    <mc:AlternateContent xmlns:mc="http://schemas.openxmlformats.org/markup-compatibility/2006">
      <mc:Choice Requires="x14">
        <oleObject progId="Equation.DSMT4" shapeId="87042" r:id="rId6">
          <objectPr defaultSize="0" r:id="rId7">
            <anchor moveWithCells="1">
              <from>
                <xdr:col>5</xdr:col>
                <xdr:colOff>95250</xdr:colOff>
                <xdr:row>5</xdr:row>
                <xdr:rowOff>9525</xdr:rowOff>
              </from>
              <to>
                <xdr:col>6</xdr:col>
                <xdr:colOff>19050</xdr:colOff>
                <xdr:row>7</xdr:row>
                <xdr:rowOff>190500</xdr:rowOff>
              </to>
            </anchor>
          </objectPr>
        </oleObject>
      </mc:Choice>
      <mc:Fallback>
        <oleObject progId="Equation.DSMT4" shapeId="87042" r:id="rId6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0"/>
  <sheetViews>
    <sheetView topLeftCell="O19" zoomScale="140" zoomScaleNormal="140" workbookViewId="0">
      <selection activeCell="O19" sqref="O19"/>
    </sheetView>
  </sheetViews>
  <sheetFormatPr defaultRowHeight="15.75" x14ac:dyDescent="0.25"/>
  <cols>
    <col min="2" max="18" width="6.5546875" customWidth="1"/>
    <col min="19" max="19" width="8.109375" customWidth="1"/>
    <col min="20" max="21" width="6.5546875" customWidth="1"/>
    <col min="22" max="22" width="10.5546875" style="2" customWidth="1"/>
  </cols>
  <sheetData>
    <row r="1" spans="1:23" ht="16.5" thickBot="1" x14ac:dyDescent="0.3">
      <c r="A1" s="262" t="s">
        <v>306</v>
      </c>
      <c r="B1" s="263"/>
      <c r="C1" s="263"/>
      <c r="D1" s="263"/>
      <c r="E1" s="263"/>
      <c r="F1" s="263"/>
      <c r="G1" s="263"/>
      <c r="H1" s="284"/>
      <c r="I1" s="286"/>
      <c r="J1" s="286"/>
      <c r="K1" s="286"/>
      <c r="M1" s="109" t="s">
        <v>308</v>
      </c>
      <c r="N1" s="124">
        <f>COUNT(B9:B28)</f>
        <v>3</v>
      </c>
      <c r="P1" s="359" t="s">
        <v>297</v>
      </c>
      <c r="Q1" s="360"/>
      <c r="R1" s="360"/>
      <c r="S1" s="361"/>
      <c r="U1" s="359" t="s">
        <v>298</v>
      </c>
      <c r="V1" s="360"/>
      <c r="W1" s="361"/>
    </row>
    <row r="2" spans="1:23" ht="16.5" thickBot="1" x14ac:dyDescent="0.3">
      <c r="A2" s="265" t="s">
        <v>300</v>
      </c>
      <c r="B2" s="266"/>
      <c r="C2" s="266"/>
      <c r="D2" s="266"/>
      <c r="E2" s="266"/>
      <c r="F2" s="266"/>
      <c r="G2" s="266"/>
      <c r="H2" s="267"/>
      <c r="I2" s="285"/>
      <c r="J2" s="285"/>
      <c r="K2" s="285"/>
      <c r="M2" s="109" t="s">
        <v>309</v>
      </c>
      <c r="N2" s="124">
        <f>COUNT(B9:U9)</f>
        <v>3</v>
      </c>
      <c r="P2" s="28"/>
      <c r="Q2" s="29"/>
      <c r="R2" s="272" t="s">
        <v>284</v>
      </c>
      <c r="S2" s="306">
        <v>0.05</v>
      </c>
      <c r="U2" s="295"/>
      <c r="V2" s="288"/>
      <c r="W2" s="30"/>
    </row>
    <row r="3" spans="1:23" ht="16.5" thickBot="1" x14ac:dyDescent="0.3">
      <c r="M3" s="109" t="s">
        <v>214</v>
      </c>
      <c r="N3" s="124">
        <f>(N1-1)*(N2-1)</f>
        <v>4</v>
      </c>
      <c r="P3" s="28"/>
      <c r="Q3" s="29"/>
      <c r="R3" s="272" t="s">
        <v>296</v>
      </c>
      <c r="S3" s="307">
        <f>1-S2</f>
        <v>0.95</v>
      </c>
      <c r="U3" s="295"/>
      <c r="V3" s="289" t="s">
        <v>288</v>
      </c>
      <c r="W3" s="308">
        <f>SUM('Test Stat 12.2'!B9:U28)</f>
        <v>274.94318965214063</v>
      </c>
    </row>
    <row r="4" spans="1:23" ht="16.5" thickBot="1" x14ac:dyDescent="0.3">
      <c r="A4" s="10" t="s">
        <v>313</v>
      </c>
      <c r="B4" s="298" t="s">
        <v>312</v>
      </c>
      <c r="M4" s="109"/>
      <c r="P4" s="28"/>
      <c r="Q4" s="29"/>
      <c r="R4" s="272" t="s">
        <v>214</v>
      </c>
      <c r="S4" s="307">
        <f>N3</f>
        <v>4</v>
      </c>
      <c r="U4" s="296"/>
      <c r="V4" s="283"/>
      <c r="W4" s="32"/>
    </row>
    <row r="5" spans="1:23" ht="16.5" thickBot="1" x14ac:dyDescent="0.3">
      <c r="M5" s="109"/>
      <c r="P5" s="31"/>
      <c r="Q5" s="24"/>
      <c r="R5" s="280" t="s">
        <v>295</v>
      </c>
      <c r="S5" s="312">
        <f>_xlfn.CHISQ.INV(S3,S4)</f>
        <v>9.4877290367811575</v>
      </c>
    </row>
    <row r="6" spans="1:23" ht="16.5" thickBot="1" x14ac:dyDescent="0.3">
      <c r="A6" s="105" t="s">
        <v>307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71"/>
    </row>
    <row r="7" spans="1:23" ht="16.5" thickBot="1" x14ac:dyDescent="0.3">
      <c r="A7" s="91" t="s">
        <v>302</v>
      </c>
      <c r="B7" s="328" t="s">
        <v>305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91" t="s">
        <v>302</v>
      </c>
    </row>
    <row r="8" spans="1:23" s="1" customFormat="1" ht="16.5" thickBot="1" x14ac:dyDescent="0.3">
      <c r="A8" s="13" t="s">
        <v>303</v>
      </c>
      <c r="B8" s="105">
        <v>1</v>
      </c>
      <c r="C8" s="105">
        <v>2</v>
      </c>
      <c r="D8" s="105">
        <v>3</v>
      </c>
      <c r="E8" s="105">
        <v>4</v>
      </c>
      <c r="F8" s="105">
        <v>5</v>
      </c>
      <c r="G8" s="105">
        <v>6</v>
      </c>
      <c r="H8" s="105">
        <v>7</v>
      </c>
      <c r="I8" s="105">
        <v>8</v>
      </c>
      <c r="J8" s="105">
        <v>9</v>
      </c>
      <c r="K8" s="105">
        <v>10</v>
      </c>
      <c r="L8" s="105">
        <v>11</v>
      </c>
      <c r="M8" s="105">
        <v>12</v>
      </c>
      <c r="N8" s="105">
        <v>13</v>
      </c>
      <c r="O8" s="105">
        <v>14</v>
      </c>
      <c r="P8" s="105">
        <v>15</v>
      </c>
      <c r="Q8" s="105">
        <v>16</v>
      </c>
      <c r="R8" s="105">
        <v>17</v>
      </c>
      <c r="S8" s="105">
        <v>18</v>
      </c>
      <c r="T8" s="105">
        <v>19</v>
      </c>
      <c r="U8" s="105">
        <v>20</v>
      </c>
      <c r="V8" s="13" t="s">
        <v>304</v>
      </c>
    </row>
    <row r="9" spans="1:23" x14ac:dyDescent="0.25">
      <c r="A9" s="11">
        <v>1</v>
      </c>
      <c r="B9" s="53">
        <v>133</v>
      </c>
      <c r="C9" s="53">
        <v>29</v>
      </c>
      <c r="D9" s="53">
        <v>34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1">
        <f>SUM(B9:U9)</f>
        <v>196</v>
      </c>
    </row>
    <row r="10" spans="1:23" x14ac:dyDescent="0.25">
      <c r="A10" s="11">
        <v>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11">
        <f t="shared" ref="V10:V28" si="0">SUM(B10:U10)</f>
        <v>0</v>
      </c>
    </row>
    <row r="11" spans="1:23" x14ac:dyDescent="0.25">
      <c r="A11" s="11">
        <v>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11">
        <f t="shared" si="0"/>
        <v>0</v>
      </c>
    </row>
    <row r="12" spans="1:23" x14ac:dyDescent="0.25">
      <c r="A12" s="11">
        <v>4</v>
      </c>
      <c r="B12" s="53">
        <v>40</v>
      </c>
      <c r="C12" s="53">
        <v>110</v>
      </c>
      <c r="D12" s="53">
        <v>25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11">
        <f t="shared" si="0"/>
        <v>175</v>
      </c>
    </row>
    <row r="13" spans="1:23" x14ac:dyDescent="0.25">
      <c r="A13" s="11">
        <v>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11">
        <f t="shared" si="0"/>
        <v>0</v>
      </c>
    </row>
    <row r="14" spans="1:23" x14ac:dyDescent="0.25">
      <c r="A14" s="11">
        <v>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11">
        <f t="shared" si="0"/>
        <v>0</v>
      </c>
    </row>
    <row r="15" spans="1:23" x14ac:dyDescent="0.25">
      <c r="A15" s="11">
        <v>7</v>
      </c>
      <c r="B15" s="53">
        <v>31</v>
      </c>
      <c r="C15" s="53">
        <v>42</v>
      </c>
      <c r="D15" s="53">
        <v>140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11">
        <f t="shared" si="0"/>
        <v>213</v>
      </c>
    </row>
    <row r="16" spans="1:23" x14ac:dyDescent="0.25">
      <c r="A16" s="11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11">
        <f t="shared" si="0"/>
        <v>0</v>
      </c>
    </row>
    <row r="17" spans="1:22" x14ac:dyDescent="0.25">
      <c r="A17" s="11">
        <v>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11">
        <f t="shared" si="0"/>
        <v>0</v>
      </c>
    </row>
    <row r="18" spans="1:22" x14ac:dyDescent="0.25">
      <c r="A18" s="11">
        <v>10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11">
        <f t="shared" si="0"/>
        <v>0</v>
      </c>
    </row>
    <row r="19" spans="1:22" x14ac:dyDescent="0.25">
      <c r="A19" s="11">
        <v>11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11">
        <f t="shared" si="0"/>
        <v>0</v>
      </c>
    </row>
    <row r="20" spans="1:22" x14ac:dyDescent="0.25">
      <c r="A20" s="11">
        <v>12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11">
        <f t="shared" si="0"/>
        <v>0</v>
      </c>
    </row>
    <row r="21" spans="1:22" x14ac:dyDescent="0.25">
      <c r="A21" s="11">
        <v>13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11">
        <f t="shared" si="0"/>
        <v>0</v>
      </c>
    </row>
    <row r="22" spans="1:22" x14ac:dyDescent="0.25">
      <c r="A22" s="11">
        <v>14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11">
        <f t="shared" si="0"/>
        <v>0</v>
      </c>
    </row>
    <row r="23" spans="1:22" x14ac:dyDescent="0.25">
      <c r="A23" s="11">
        <v>15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11">
        <f t="shared" si="0"/>
        <v>0</v>
      </c>
    </row>
    <row r="24" spans="1:22" x14ac:dyDescent="0.25">
      <c r="A24" s="11">
        <v>16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11">
        <f t="shared" si="0"/>
        <v>0</v>
      </c>
    </row>
    <row r="25" spans="1:22" x14ac:dyDescent="0.25">
      <c r="A25" s="11">
        <v>17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11">
        <f t="shared" si="0"/>
        <v>0</v>
      </c>
    </row>
    <row r="26" spans="1:22" x14ac:dyDescent="0.25">
      <c r="A26" s="11">
        <v>18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11">
        <f t="shared" si="0"/>
        <v>0</v>
      </c>
    </row>
    <row r="27" spans="1:22" x14ac:dyDescent="0.25">
      <c r="A27" s="11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11">
        <f t="shared" si="0"/>
        <v>0</v>
      </c>
    </row>
    <row r="28" spans="1:22" ht="16.5" thickBot="1" x14ac:dyDescent="0.3">
      <c r="A28" s="11">
        <v>20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11">
        <f t="shared" si="0"/>
        <v>0</v>
      </c>
    </row>
    <row r="29" spans="1:22" x14ac:dyDescent="0.25">
      <c r="A29" s="91" t="s">
        <v>314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91"/>
    </row>
    <row r="30" spans="1:22" s="1" customFormat="1" ht="16.5" thickBot="1" x14ac:dyDescent="0.3">
      <c r="A30" s="13" t="s">
        <v>304</v>
      </c>
      <c r="B30" s="105">
        <f>SUM(B9:B28)</f>
        <v>204</v>
      </c>
      <c r="C30" s="105">
        <f t="shared" ref="C30:V30" si="1">SUM(C9:C28)</f>
        <v>181</v>
      </c>
      <c r="D30" s="105">
        <f t="shared" si="1"/>
        <v>199</v>
      </c>
      <c r="E30" s="105">
        <f t="shared" si="1"/>
        <v>0</v>
      </c>
      <c r="F30" s="105">
        <f t="shared" si="1"/>
        <v>0</v>
      </c>
      <c r="G30" s="105">
        <f t="shared" si="1"/>
        <v>0</v>
      </c>
      <c r="H30" s="105">
        <f t="shared" si="1"/>
        <v>0</v>
      </c>
      <c r="I30" s="105">
        <f t="shared" si="1"/>
        <v>0</v>
      </c>
      <c r="J30" s="105">
        <f t="shared" si="1"/>
        <v>0</v>
      </c>
      <c r="K30" s="105">
        <f t="shared" si="1"/>
        <v>0</v>
      </c>
      <c r="L30" s="105">
        <f t="shared" si="1"/>
        <v>0</v>
      </c>
      <c r="M30" s="105">
        <f t="shared" si="1"/>
        <v>0</v>
      </c>
      <c r="N30" s="105">
        <f t="shared" si="1"/>
        <v>0</v>
      </c>
      <c r="O30" s="105">
        <f t="shared" si="1"/>
        <v>0</v>
      </c>
      <c r="P30" s="105">
        <f t="shared" si="1"/>
        <v>0</v>
      </c>
      <c r="Q30" s="105">
        <f t="shared" si="1"/>
        <v>0</v>
      </c>
      <c r="R30" s="105">
        <f t="shared" si="1"/>
        <v>0</v>
      </c>
      <c r="S30" s="105">
        <f t="shared" si="1"/>
        <v>0</v>
      </c>
      <c r="T30" s="105">
        <f t="shared" si="1"/>
        <v>0</v>
      </c>
      <c r="U30" s="105">
        <f t="shared" si="1"/>
        <v>0</v>
      </c>
      <c r="V30" s="13">
        <f t="shared" si="1"/>
        <v>584</v>
      </c>
    </row>
  </sheetData>
  <mergeCells count="3">
    <mergeCell ref="B7:U7"/>
    <mergeCell ref="P1:S1"/>
    <mergeCell ref="U1:W1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99330" r:id="rId4">
          <objectPr defaultSize="0" autoPict="0" r:id="rId5">
            <anchor moveWithCells="1" sizeWithCells="1">
              <from>
                <xdr:col>20</xdr:col>
                <xdr:colOff>323850</xdr:colOff>
                <xdr:row>1</xdr:row>
                <xdr:rowOff>19050</xdr:rowOff>
              </from>
              <to>
                <xdr:col>21</xdr:col>
                <xdr:colOff>619125</xdr:colOff>
                <xdr:row>3</xdr:row>
                <xdr:rowOff>171450</xdr:rowOff>
              </to>
            </anchor>
          </objectPr>
        </oleObject>
      </mc:Choice>
      <mc:Fallback>
        <oleObject progId="Equation.DSMT4" shapeId="99330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opLeftCell="A18" zoomScale="140" zoomScaleNormal="140" workbookViewId="0">
      <selection activeCell="C12" sqref="C12"/>
    </sheetView>
  </sheetViews>
  <sheetFormatPr defaultRowHeight="15.75" x14ac:dyDescent="0.25"/>
  <cols>
    <col min="2" max="21" width="6.5546875" customWidth="1"/>
    <col min="22" max="22" width="10.5546875" style="2" customWidth="1"/>
  </cols>
  <sheetData>
    <row r="1" spans="1:29" x14ac:dyDescent="0.25">
      <c r="A1" s="290"/>
      <c r="B1" s="290"/>
      <c r="C1" s="290"/>
      <c r="D1" s="290"/>
      <c r="E1" s="290"/>
      <c r="F1" s="290"/>
      <c r="G1" s="290"/>
      <c r="H1" s="290"/>
      <c r="I1" s="115"/>
      <c r="J1" s="115"/>
      <c r="K1" s="115"/>
      <c r="L1" s="115"/>
      <c r="M1" s="291"/>
      <c r="N1" s="115"/>
      <c r="O1" s="115"/>
      <c r="P1" s="297"/>
      <c r="Q1" s="297"/>
      <c r="R1" s="297"/>
      <c r="S1" s="297"/>
      <c r="T1" s="115"/>
      <c r="U1" s="297"/>
      <c r="V1" s="297"/>
      <c r="W1" s="297"/>
      <c r="X1" s="115"/>
      <c r="Y1" s="115"/>
      <c r="Z1" s="115"/>
      <c r="AA1" s="115"/>
      <c r="AB1" s="115"/>
      <c r="AC1" s="115"/>
    </row>
    <row r="2" spans="1:29" x14ac:dyDescent="0.25">
      <c r="A2" s="290"/>
      <c r="B2" s="290"/>
      <c r="C2" s="290"/>
      <c r="D2" s="290"/>
      <c r="E2" s="290"/>
      <c r="F2" s="290"/>
      <c r="G2" s="290"/>
      <c r="H2" s="290"/>
      <c r="I2" s="115"/>
      <c r="J2" s="115"/>
      <c r="K2" s="115"/>
      <c r="L2" s="115"/>
      <c r="M2" s="291"/>
      <c r="N2" s="115"/>
      <c r="O2" s="115"/>
      <c r="P2" s="115"/>
      <c r="Q2" s="115"/>
      <c r="R2" s="291"/>
      <c r="S2" s="292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291"/>
      <c r="N3" s="115"/>
      <c r="O3" s="115"/>
      <c r="P3" s="115"/>
      <c r="Q3" s="115"/>
      <c r="R3" s="291"/>
      <c r="S3" s="292"/>
      <c r="T3" s="115"/>
      <c r="U3" s="115"/>
      <c r="V3" s="291"/>
      <c r="W3" s="293"/>
      <c r="X3" s="115"/>
      <c r="Y3" s="115"/>
      <c r="Z3" s="115"/>
      <c r="AA3" s="115"/>
      <c r="AB3" s="115"/>
      <c r="AC3" s="115"/>
    </row>
    <row r="4" spans="1:29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291"/>
      <c r="N4" s="115"/>
      <c r="O4" s="115"/>
      <c r="P4" s="115"/>
      <c r="Q4" s="115"/>
      <c r="R4" s="291"/>
      <c r="S4" s="292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x14ac:dyDescent="0.25">
      <c r="L5" s="115"/>
      <c r="M5" s="291"/>
      <c r="N5" s="115"/>
      <c r="O5" s="115"/>
      <c r="P5" s="115"/>
      <c r="Q5" s="115"/>
      <c r="R5" s="291"/>
      <c r="S5" s="293"/>
      <c r="T5" s="115"/>
      <c r="U5" s="115"/>
      <c r="V5" s="294"/>
      <c r="W5" s="115"/>
      <c r="X5" s="115"/>
      <c r="Y5" s="115"/>
      <c r="Z5" s="115"/>
      <c r="AA5" s="115"/>
      <c r="AB5" s="115"/>
      <c r="AC5" s="115"/>
    </row>
    <row r="6" spans="1:29" ht="16.5" thickBot="1" x14ac:dyDescent="0.3">
      <c r="A6" s="105" t="s">
        <v>310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71"/>
    </row>
    <row r="7" spans="1:29" ht="16.5" thickBot="1" x14ac:dyDescent="0.3">
      <c r="A7" s="91" t="s">
        <v>302</v>
      </c>
      <c r="B7" s="328" t="s">
        <v>305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91" t="s">
        <v>302</v>
      </c>
    </row>
    <row r="8" spans="1:29" s="1" customFormat="1" ht="16.5" thickBot="1" x14ac:dyDescent="0.3">
      <c r="A8" s="13" t="s">
        <v>303</v>
      </c>
      <c r="B8" s="105">
        <v>1</v>
      </c>
      <c r="C8" s="105">
        <v>2</v>
      </c>
      <c r="D8" s="105">
        <v>3</v>
      </c>
      <c r="E8" s="105">
        <v>4</v>
      </c>
      <c r="F8" s="105">
        <v>5</v>
      </c>
      <c r="G8" s="105">
        <v>6</v>
      </c>
      <c r="H8" s="105">
        <v>7</v>
      </c>
      <c r="I8" s="105">
        <v>8</v>
      </c>
      <c r="J8" s="105">
        <v>9</v>
      </c>
      <c r="K8" s="105">
        <v>10</v>
      </c>
      <c r="L8" s="105">
        <v>11</v>
      </c>
      <c r="M8" s="105">
        <v>12</v>
      </c>
      <c r="N8" s="105">
        <v>13</v>
      </c>
      <c r="O8" s="105">
        <v>14</v>
      </c>
      <c r="P8" s="105">
        <v>15</v>
      </c>
      <c r="Q8" s="105">
        <v>16</v>
      </c>
      <c r="R8" s="105">
        <v>17</v>
      </c>
      <c r="S8" s="105">
        <v>18</v>
      </c>
      <c r="T8" s="105">
        <v>19</v>
      </c>
      <c r="U8" s="105">
        <v>20</v>
      </c>
      <c r="V8" s="13" t="s">
        <v>304</v>
      </c>
    </row>
    <row r="9" spans="1:29" x14ac:dyDescent="0.25">
      <c r="A9" s="11">
        <v>1</v>
      </c>
      <c r="B9">
        <f>$V9*B$30/$V$30</f>
        <v>68.465753424657535</v>
      </c>
      <c r="C9">
        <f t="shared" ref="C9:R24" si="0">$V9*C$30/$V$30</f>
        <v>60.746575342465754</v>
      </c>
      <c r="D9">
        <f t="shared" si="0"/>
        <v>66.787671232876718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ref="S9:U28" si="1">$V9*S$30/$V$30</f>
        <v>0</v>
      </c>
      <c r="T9">
        <f t="shared" si="1"/>
        <v>0</v>
      </c>
      <c r="U9">
        <f t="shared" si="1"/>
        <v>0</v>
      </c>
      <c r="V9" s="11">
        <f>'Contingency Tables 12.2'!V9</f>
        <v>196</v>
      </c>
    </row>
    <row r="10" spans="1:29" x14ac:dyDescent="0.25">
      <c r="A10" s="11">
        <v>2</v>
      </c>
      <c r="B10">
        <f t="shared" ref="B10:Q25" si="2">$V10*B$30/$V$30</f>
        <v>0</v>
      </c>
      <c r="C10">
        <f t="shared" si="0"/>
        <v>0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  <c r="P10">
        <f t="shared" si="0"/>
        <v>0</v>
      </c>
      <c r="Q10">
        <f t="shared" si="0"/>
        <v>0</v>
      </c>
      <c r="R10">
        <f t="shared" si="0"/>
        <v>0</v>
      </c>
      <c r="S10">
        <f t="shared" si="1"/>
        <v>0</v>
      </c>
      <c r="T10">
        <f t="shared" si="1"/>
        <v>0</v>
      </c>
      <c r="U10">
        <f t="shared" si="1"/>
        <v>0</v>
      </c>
      <c r="V10" s="11">
        <f>'Contingency Tables 12.2'!V10</f>
        <v>0</v>
      </c>
    </row>
    <row r="11" spans="1:29" x14ac:dyDescent="0.25">
      <c r="A11" s="11">
        <v>3</v>
      </c>
      <c r="B11">
        <f t="shared" si="2"/>
        <v>0</v>
      </c>
      <c r="C11">
        <f t="shared" si="0"/>
        <v>0</v>
      </c>
      <c r="D11">
        <f t="shared" si="0"/>
        <v>0</v>
      </c>
      <c r="E11">
        <f t="shared" si="0"/>
        <v>0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0</v>
      </c>
      <c r="O11">
        <f t="shared" si="0"/>
        <v>0</v>
      </c>
      <c r="P11">
        <f t="shared" si="0"/>
        <v>0</v>
      </c>
      <c r="Q11">
        <f t="shared" si="0"/>
        <v>0</v>
      </c>
      <c r="R11">
        <f t="shared" si="0"/>
        <v>0</v>
      </c>
      <c r="S11">
        <f t="shared" si="1"/>
        <v>0</v>
      </c>
      <c r="T11">
        <f t="shared" si="1"/>
        <v>0</v>
      </c>
      <c r="U11">
        <f t="shared" si="1"/>
        <v>0</v>
      </c>
      <c r="V11" s="11">
        <f>'Contingency Tables 12.2'!V11</f>
        <v>0</v>
      </c>
    </row>
    <row r="12" spans="1:29" x14ac:dyDescent="0.25">
      <c r="A12" s="11">
        <v>4</v>
      </c>
      <c r="B12">
        <f t="shared" si="2"/>
        <v>61.130136986301373</v>
      </c>
      <c r="C12">
        <f>$V12*C$30/$V$30</f>
        <v>54.238013698630134</v>
      </c>
      <c r="D12">
        <f t="shared" si="0"/>
        <v>59.631849315068493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  <c r="L12">
        <f t="shared" si="0"/>
        <v>0</v>
      </c>
      <c r="M12">
        <f t="shared" si="0"/>
        <v>0</v>
      </c>
      <c r="N12">
        <f t="shared" si="0"/>
        <v>0</v>
      </c>
      <c r="O12">
        <f t="shared" si="0"/>
        <v>0</v>
      </c>
      <c r="P12">
        <f t="shared" si="0"/>
        <v>0</v>
      </c>
      <c r="Q12">
        <f t="shared" si="0"/>
        <v>0</v>
      </c>
      <c r="R12">
        <f t="shared" si="0"/>
        <v>0</v>
      </c>
      <c r="S12">
        <f t="shared" si="1"/>
        <v>0</v>
      </c>
      <c r="T12">
        <f t="shared" si="1"/>
        <v>0</v>
      </c>
      <c r="U12">
        <f t="shared" si="1"/>
        <v>0</v>
      </c>
      <c r="V12" s="11">
        <f>'Contingency Tables 12.2'!V12</f>
        <v>175</v>
      </c>
    </row>
    <row r="13" spans="1:29" x14ac:dyDescent="0.25">
      <c r="A13" s="11">
        <v>5</v>
      </c>
      <c r="B13">
        <f t="shared" si="2"/>
        <v>0</v>
      </c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  <c r="S13">
        <f t="shared" si="1"/>
        <v>0</v>
      </c>
      <c r="T13">
        <f t="shared" si="1"/>
        <v>0</v>
      </c>
      <c r="U13">
        <f t="shared" si="1"/>
        <v>0</v>
      </c>
      <c r="V13" s="11">
        <f>'Contingency Tables 12.2'!V13</f>
        <v>0</v>
      </c>
    </row>
    <row r="14" spans="1:29" x14ac:dyDescent="0.25">
      <c r="A14" s="11">
        <v>6</v>
      </c>
      <c r="B14">
        <f t="shared" si="2"/>
        <v>0</v>
      </c>
      <c r="C14">
        <f t="shared" si="0"/>
        <v>0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0</v>
      </c>
      <c r="P14">
        <f t="shared" si="0"/>
        <v>0</v>
      </c>
      <c r="Q14">
        <f t="shared" si="0"/>
        <v>0</v>
      </c>
      <c r="R14">
        <f t="shared" si="0"/>
        <v>0</v>
      </c>
      <c r="S14">
        <f t="shared" si="1"/>
        <v>0</v>
      </c>
      <c r="T14">
        <f t="shared" si="1"/>
        <v>0</v>
      </c>
      <c r="U14">
        <f t="shared" si="1"/>
        <v>0</v>
      </c>
      <c r="V14" s="11">
        <f>'Contingency Tables 12.2'!V14</f>
        <v>0</v>
      </c>
    </row>
    <row r="15" spans="1:29" x14ac:dyDescent="0.25">
      <c r="A15" s="11">
        <v>7</v>
      </c>
      <c r="B15">
        <f t="shared" si="2"/>
        <v>74.404109589041099</v>
      </c>
      <c r="C15">
        <f t="shared" si="0"/>
        <v>66.015410958904113</v>
      </c>
      <c r="D15">
        <f t="shared" si="0"/>
        <v>72.580479452054789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1"/>
        <v>0</v>
      </c>
      <c r="T15">
        <f t="shared" si="1"/>
        <v>0</v>
      </c>
      <c r="U15">
        <f t="shared" si="1"/>
        <v>0</v>
      </c>
      <c r="V15" s="11">
        <f>'Contingency Tables 12.2'!V15</f>
        <v>213</v>
      </c>
    </row>
    <row r="16" spans="1:29" x14ac:dyDescent="0.25">
      <c r="A16" s="11">
        <v>8</v>
      </c>
      <c r="B16">
        <f t="shared" si="2"/>
        <v>0</v>
      </c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0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1"/>
        <v>0</v>
      </c>
      <c r="T16">
        <f t="shared" si="1"/>
        <v>0</v>
      </c>
      <c r="U16">
        <f t="shared" si="1"/>
        <v>0</v>
      </c>
      <c r="V16" s="11">
        <f>'Contingency Tables 12.2'!V16</f>
        <v>0</v>
      </c>
    </row>
    <row r="17" spans="1:22" x14ac:dyDescent="0.25">
      <c r="A17" s="11">
        <v>9</v>
      </c>
      <c r="B17">
        <f t="shared" si="2"/>
        <v>0</v>
      </c>
      <c r="C17">
        <f t="shared" si="0"/>
        <v>0</v>
      </c>
      <c r="D17">
        <f t="shared" si="0"/>
        <v>0</v>
      </c>
      <c r="E17">
        <f t="shared" si="0"/>
        <v>0</v>
      </c>
      <c r="F17">
        <f t="shared" si="0"/>
        <v>0</v>
      </c>
      <c r="G17">
        <f t="shared" si="0"/>
        <v>0</v>
      </c>
      <c r="H17">
        <f t="shared" si="0"/>
        <v>0</v>
      </c>
      <c r="I17">
        <f t="shared" si="0"/>
        <v>0</v>
      </c>
      <c r="J17">
        <f t="shared" si="0"/>
        <v>0</v>
      </c>
      <c r="K17">
        <f t="shared" si="0"/>
        <v>0</v>
      </c>
      <c r="L17">
        <f t="shared" si="0"/>
        <v>0</v>
      </c>
      <c r="M17">
        <f t="shared" si="0"/>
        <v>0</v>
      </c>
      <c r="N17">
        <f t="shared" si="0"/>
        <v>0</v>
      </c>
      <c r="O17">
        <f t="shared" si="0"/>
        <v>0</v>
      </c>
      <c r="P17">
        <f t="shared" si="0"/>
        <v>0</v>
      </c>
      <c r="Q17">
        <f t="shared" si="0"/>
        <v>0</v>
      </c>
      <c r="R17">
        <f t="shared" si="0"/>
        <v>0</v>
      </c>
      <c r="S17">
        <f t="shared" si="1"/>
        <v>0</v>
      </c>
      <c r="T17">
        <f t="shared" si="1"/>
        <v>0</v>
      </c>
      <c r="U17">
        <f t="shared" si="1"/>
        <v>0</v>
      </c>
      <c r="V17" s="11">
        <f>'Contingency Tables 12.2'!V17</f>
        <v>0</v>
      </c>
    </row>
    <row r="18" spans="1:22" x14ac:dyDescent="0.25">
      <c r="A18" s="11">
        <v>10</v>
      </c>
      <c r="B18">
        <f t="shared" si="2"/>
        <v>0</v>
      </c>
      <c r="C18">
        <f t="shared" si="0"/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0</v>
      </c>
      <c r="R18">
        <f t="shared" si="0"/>
        <v>0</v>
      </c>
      <c r="S18">
        <f t="shared" si="1"/>
        <v>0</v>
      </c>
      <c r="T18">
        <f t="shared" si="1"/>
        <v>0</v>
      </c>
      <c r="U18">
        <f t="shared" si="1"/>
        <v>0</v>
      </c>
      <c r="V18" s="11">
        <f>'Contingency Tables 12.2'!V18</f>
        <v>0</v>
      </c>
    </row>
    <row r="19" spans="1:22" x14ac:dyDescent="0.25">
      <c r="A19" s="11">
        <v>11</v>
      </c>
      <c r="B19">
        <f t="shared" si="2"/>
        <v>0</v>
      </c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S19">
        <f t="shared" si="1"/>
        <v>0</v>
      </c>
      <c r="T19">
        <f t="shared" si="1"/>
        <v>0</v>
      </c>
      <c r="U19">
        <f t="shared" si="1"/>
        <v>0</v>
      </c>
      <c r="V19" s="11">
        <f>'Contingency Tables 12.2'!V19</f>
        <v>0</v>
      </c>
    </row>
    <row r="20" spans="1:22" x14ac:dyDescent="0.25">
      <c r="A20" s="11">
        <v>12</v>
      </c>
      <c r="B20">
        <f t="shared" si="2"/>
        <v>0</v>
      </c>
      <c r="C20">
        <f t="shared" si="0"/>
        <v>0</v>
      </c>
      <c r="D20">
        <f t="shared" si="0"/>
        <v>0</v>
      </c>
      <c r="E20">
        <f t="shared" si="0"/>
        <v>0</v>
      </c>
      <c r="F20">
        <f t="shared" si="0"/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N20">
        <f t="shared" si="0"/>
        <v>0</v>
      </c>
      <c r="O20">
        <f t="shared" si="0"/>
        <v>0</v>
      </c>
      <c r="P20">
        <f t="shared" si="0"/>
        <v>0</v>
      </c>
      <c r="Q20">
        <f t="shared" si="0"/>
        <v>0</v>
      </c>
      <c r="R20">
        <f t="shared" si="0"/>
        <v>0</v>
      </c>
      <c r="S20">
        <f t="shared" si="1"/>
        <v>0</v>
      </c>
      <c r="T20">
        <f t="shared" si="1"/>
        <v>0</v>
      </c>
      <c r="U20">
        <f t="shared" si="1"/>
        <v>0</v>
      </c>
      <c r="V20" s="11">
        <f>'Contingency Tables 12.2'!V20</f>
        <v>0</v>
      </c>
    </row>
    <row r="21" spans="1:22" x14ac:dyDescent="0.25">
      <c r="A21" s="11">
        <v>13</v>
      </c>
      <c r="B21">
        <f t="shared" si="2"/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1"/>
        <v>0</v>
      </c>
      <c r="T21">
        <f t="shared" si="1"/>
        <v>0</v>
      </c>
      <c r="U21">
        <f t="shared" si="1"/>
        <v>0</v>
      </c>
      <c r="V21" s="11">
        <f>'Contingency Tables 12.2'!V21</f>
        <v>0</v>
      </c>
    </row>
    <row r="22" spans="1:22" x14ac:dyDescent="0.25">
      <c r="A22" s="11">
        <v>14</v>
      </c>
      <c r="B22">
        <f t="shared" si="2"/>
        <v>0</v>
      </c>
      <c r="C22">
        <f t="shared" si="0"/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1"/>
        <v>0</v>
      </c>
      <c r="T22">
        <f t="shared" si="1"/>
        <v>0</v>
      </c>
      <c r="U22">
        <f t="shared" si="1"/>
        <v>0</v>
      </c>
      <c r="V22" s="11">
        <f>'Contingency Tables 12.2'!V22</f>
        <v>0</v>
      </c>
    </row>
    <row r="23" spans="1:22" x14ac:dyDescent="0.25">
      <c r="A23" s="11">
        <v>15</v>
      </c>
      <c r="B23">
        <f t="shared" si="2"/>
        <v>0</v>
      </c>
      <c r="C23">
        <f t="shared" si="0"/>
        <v>0</v>
      </c>
      <c r="D23">
        <f t="shared" si="0"/>
        <v>0</v>
      </c>
      <c r="E23">
        <f t="shared" si="0"/>
        <v>0</v>
      </c>
      <c r="F23">
        <f t="shared" si="0"/>
        <v>0</v>
      </c>
      <c r="G23">
        <f t="shared" si="0"/>
        <v>0</v>
      </c>
      <c r="H23">
        <f t="shared" si="0"/>
        <v>0</v>
      </c>
      <c r="I23">
        <f t="shared" si="0"/>
        <v>0</v>
      </c>
      <c r="J23">
        <f t="shared" si="0"/>
        <v>0</v>
      </c>
      <c r="K23">
        <f t="shared" si="0"/>
        <v>0</v>
      </c>
      <c r="L23">
        <f t="shared" si="0"/>
        <v>0</v>
      </c>
      <c r="M23">
        <f t="shared" si="0"/>
        <v>0</v>
      </c>
      <c r="N23">
        <f t="shared" si="0"/>
        <v>0</v>
      </c>
      <c r="O23">
        <f t="shared" si="0"/>
        <v>0</v>
      </c>
      <c r="P23">
        <f t="shared" si="0"/>
        <v>0</v>
      </c>
      <c r="Q23">
        <f t="shared" si="0"/>
        <v>0</v>
      </c>
      <c r="R23">
        <f t="shared" si="0"/>
        <v>0</v>
      </c>
      <c r="S23">
        <f t="shared" si="1"/>
        <v>0</v>
      </c>
      <c r="T23">
        <f t="shared" si="1"/>
        <v>0</v>
      </c>
      <c r="U23">
        <f t="shared" si="1"/>
        <v>0</v>
      </c>
      <c r="V23" s="11">
        <f>'Contingency Tables 12.2'!V23</f>
        <v>0</v>
      </c>
    </row>
    <row r="24" spans="1:22" x14ac:dyDescent="0.25">
      <c r="A24" s="11">
        <v>16</v>
      </c>
      <c r="B24">
        <f t="shared" si="2"/>
        <v>0</v>
      </c>
      <c r="C24">
        <f t="shared" si="0"/>
        <v>0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  <c r="H24">
        <f t="shared" si="0"/>
        <v>0</v>
      </c>
      <c r="I24">
        <f t="shared" si="0"/>
        <v>0</v>
      </c>
      <c r="J24">
        <f t="shared" si="0"/>
        <v>0</v>
      </c>
      <c r="K24">
        <f t="shared" si="0"/>
        <v>0</v>
      </c>
      <c r="L24">
        <f t="shared" si="0"/>
        <v>0</v>
      </c>
      <c r="M24">
        <f t="shared" si="0"/>
        <v>0</v>
      </c>
      <c r="N24">
        <f t="shared" si="0"/>
        <v>0</v>
      </c>
      <c r="O24">
        <f t="shared" si="0"/>
        <v>0</v>
      </c>
      <c r="P24">
        <f t="shared" si="0"/>
        <v>0</v>
      </c>
      <c r="Q24">
        <f t="shared" si="0"/>
        <v>0</v>
      </c>
      <c r="R24">
        <f t="shared" ref="R24:R28" si="3">$V24*R$30/$V$30</f>
        <v>0</v>
      </c>
      <c r="S24">
        <f t="shared" si="1"/>
        <v>0</v>
      </c>
      <c r="T24">
        <f t="shared" si="1"/>
        <v>0</v>
      </c>
      <c r="U24">
        <f t="shared" si="1"/>
        <v>0</v>
      </c>
      <c r="V24" s="11">
        <f>'Contingency Tables 12.2'!V24</f>
        <v>0</v>
      </c>
    </row>
    <row r="25" spans="1:22" x14ac:dyDescent="0.25">
      <c r="A25" s="11">
        <v>17</v>
      </c>
      <c r="B25">
        <f t="shared" si="2"/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 t="shared" si="2"/>
        <v>0</v>
      </c>
      <c r="H25">
        <f t="shared" si="2"/>
        <v>0</v>
      </c>
      <c r="I25">
        <f t="shared" si="2"/>
        <v>0</v>
      </c>
      <c r="J25">
        <f t="shared" si="2"/>
        <v>0</v>
      </c>
      <c r="K25">
        <f t="shared" si="2"/>
        <v>0</v>
      </c>
      <c r="L25">
        <f t="shared" si="2"/>
        <v>0</v>
      </c>
      <c r="M25">
        <f t="shared" si="2"/>
        <v>0</v>
      </c>
      <c r="N25">
        <f t="shared" si="2"/>
        <v>0</v>
      </c>
      <c r="O25">
        <f t="shared" si="2"/>
        <v>0</v>
      </c>
      <c r="P25">
        <f t="shared" si="2"/>
        <v>0</v>
      </c>
      <c r="Q25">
        <f t="shared" si="2"/>
        <v>0</v>
      </c>
      <c r="R25">
        <f t="shared" si="3"/>
        <v>0</v>
      </c>
      <c r="S25">
        <f t="shared" si="1"/>
        <v>0</v>
      </c>
      <c r="T25">
        <f t="shared" si="1"/>
        <v>0</v>
      </c>
      <c r="U25">
        <f t="shared" si="1"/>
        <v>0</v>
      </c>
      <c r="V25" s="11">
        <f>'Contingency Tables 12.2'!V25</f>
        <v>0</v>
      </c>
    </row>
    <row r="26" spans="1:22" x14ac:dyDescent="0.25">
      <c r="A26" s="11">
        <v>18</v>
      </c>
      <c r="B26">
        <f t="shared" ref="B26:Q28" si="4">$V26*B$30/$V$30</f>
        <v>0</v>
      </c>
      <c r="C26">
        <f t="shared" si="4"/>
        <v>0</v>
      </c>
      <c r="D26">
        <f t="shared" si="4"/>
        <v>0</v>
      </c>
      <c r="E26">
        <f t="shared" si="4"/>
        <v>0</v>
      </c>
      <c r="F26">
        <f t="shared" si="4"/>
        <v>0</v>
      </c>
      <c r="G26">
        <f t="shared" si="4"/>
        <v>0</v>
      </c>
      <c r="H26">
        <f t="shared" si="4"/>
        <v>0</v>
      </c>
      <c r="I26">
        <f t="shared" si="4"/>
        <v>0</v>
      </c>
      <c r="J26">
        <f t="shared" si="4"/>
        <v>0</v>
      </c>
      <c r="K26">
        <f t="shared" si="4"/>
        <v>0</v>
      </c>
      <c r="L26">
        <f t="shared" si="4"/>
        <v>0</v>
      </c>
      <c r="M26">
        <f t="shared" si="4"/>
        <v>0</v>
      </c>
      <c r="N26">
        <f t="shared" si="4"/>
        <v>0</v>
      </c>
      <c r="O26">
        <f t="shared" si="4"/>
        <v>0</v>
      </c>
      <c r="P26">
        <f t="shared" si="4"/>
        <v>0</v>
      </c>
      <c r="Q26">
        <f t="shared" si="4"/>
        <v>0</v>
      </c>
      <c r="R26">
        <f t="shared" si="3"/>
        <v>0</v>
      </c>
      <c r="S26">
        <f t="shared" si="1"/>
        <v>0</v>
      </c>
      <c r="T26">
        <f t="shared" si="1"/>
        <v>0</v>
      </c>
      <c r="U26">
        <f t="shared" si="1"/>
        <v>0</v>
      </c>
      <c r="V26" s="11">
        <f>'Contingency Tables 12.2'!V26</f>
        <v>0</v>
      </c>
    </row>
    <row r="27" spans="1:22" x14ac:dyDescent="0.25">
      <c r="A27" s="11">
        <v>19</v>
      </c>
      <c r="B27">
        <f t="shared" si="4"/>
        <v>0</v>
      </c>
      <c r="C27">
        <f t="shared" si="4"/>
        <v>0</v>
      </c>
      <c r="D27">
        <f t="shared" si="4"/>
        <v>0</v>
      </c>
      <c r="E27">
        <f t="shared" si="4"/>
        <v>0</v>
      </c>
      <c r="F27">
        <f t="shared" si="4"/>
        <v>0</v>
      </c>
      <c r="G27">
        <f t="shared" si="4"/>
        <v>0</v>
      </c>
      <c r="H27">
        <f t="shared" si="4"/>
        <v>0</v>
      </c>
      <c r="I27">
        <f t="shared" si="4"/>
        <v>0</v>
      </c>
      <c r="J27">
        <f t="shared" si="4"/>
        <v>0</v>
      </c>
      <c r="K27">
        <f t="shared" si="4"/>
        <v>0</v>
      </c>
      <c r="L27">
        <f t="shared" si="4"/>
        <v>0</v>
      </c>
      <c r="M27">
        <f t="shared" si="4"/>
        <v>0</v>
      </c>
      <c r="N27">
        <f t="shared" si="4"/>
        <v>0</v>
      </c>
      <c r="O27">
        <f t="shared" si="4"/>
        <v>0</v>
      </c>
      <c r="P27">
        <f t="shared" si="4"/>
        <v>0</v>
      </c>
      <c r="Q27">
        <f t="shared" si="4"/>
        <v>0</v>
      </c>
      <c r="R27">
        <f t="shared" si="3"/>
        <v>0</v>
      </c>
      <c r="S27">
        <f t="shared" si="1"/>
        <v>0</v>
      </c>
      <c r="T27">
        <f t="shared" si="1"/>
        <v>0</v>
      </c>
      <c r="U27">
        <f t="shared" si="1"/>
        <v>0</v>
      </c>
      <c r="V27" s="11">
        <f>'Contingency Tables 12.2'!V27</f>
        <v>0</v>
      </c>
    </row>
    <row r="28" spans="1:22" ht="16.5" thickBot="1" x14ac:dyDescent="0.3">
      <c r="A28" s="11">
        <v>20</v>
      </c>
      <c r="B28">
        <f t="shared" si="4"/>
        <v>0</v>
      </c>
      <c r="C28">
        <f t="shared" si="4"/>
        <v>0</v>
      </c>
      <c r="D28">
        <f t="shared" si="4"/>
        <v>0</v>
      </c>
      <c r="E28">
        <f t="shared" si="4"/>
        <v>0</v>
      </c>
      <c r="F28">
        <f t="shared" si="4"/>
        <v>0</v>
      </c>
      <c r="G28">
        <f t="shared" si="4"/>
        <v>0</v>
      </c>
      <c r="H28">
        <f t="shared" si="4"/>
        <v>0</v>
      </c>
      <c r="I28">
        <f t="shared" si="4"/>
        <v>0</v>
      </c>
      <c r="J28">
        <f t="shared" si="4"/>
        <v>0</v>
      </c>
      <c r="K28">
        <f t="shared" si="4"/>
        <v>0</v>
      </c>
      <c r="L28">
        <f t="shared" si="4"/>
        <v>0</v>
      </c>
      <c r="M28">
        <f t="shared" si="4"/>
        <v>0</v>
      </c>
      <c r="N28">
        <f t="shared" si="4"/>
        <v>0</v>
      </c>
      <c r="O28">
        <f t="shared" si="4"/>
        <v>0</v>
      </c>
      <c r="P28">
        <f t="shared" si="4"/>
        <v>0</v>
      </c>
      <c r="Q28">
        <f t="shared" si="4"/>
        <v>0</v>
      </c>
      <c r="R28">
        <f t="shared" si="3"/>
        <v>0</v>
      </c>
      <c r="S28">
        <f t="shared" si="1"/>
        <v>0</v>
      </c>
      <c r="T28">
        <f t="shared" si="1"/>
        <v>0</v>
      </c>
      <c r="U28">
        <f t="shared" si="1"/>
        <v>0</v>
      </c>
      <c r="V28" s="11">
        <f>'Contingency Tables 12.2'!V28</f>
        <v>0</v>
      </c>
    </row>
    <row r="29" spans="1:22" x14ac:dyDescent="0.25">
      <c r="A29" s="91" t="s">
        <v>302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91"/>
    </row>
    <row r="30" spans="1:22" s="1" customFormat="1" ht="16.5" thickBot="1" x14ac:dyDescent="0.3">
      <c r="A30" s="13" t="s">
        <v>304</v>
      </c>
      <c r="B30" s="271">
        <f>'Contingency Tables 12.2'!B30</f>
        <v>204</v>
      </c>
      <c r="C30" s="271">
        <f>'Contingency Tables 12.2'!C30</f>
        <v>181</v>
      </c>
      <c r="D30" s="271">
        <f>'Contingency Tables 12.2'!D30</f>
        <v>199</v>
      </c>
      <c r="E30" s="271">
        <f>'Contingency Tables 12.2'!E30</f>
        <v>0</v>
      </c>
      <c r="F30" s="271">
        <f>'Contingency Tables 12.2'!F30</f>
        <v>0</v>
      </c>
      <c r="G30" s="271">
        <f>'Contingency Tables 12.2'!G30</f>
        <v>0</v>
      </c>
      <c r="H30" s="271">
        <f>'Contingency Tables 12.2'!H30</f>
        <v>0</v>
      </c>
      <c r="I30" s="271">
        <f>'Contingency Tables 12.2'!I30</f>
        <v>0</v>
      </c>
      <c r="J30" s="271">
        <f>'Contingency Tables 12.2'!J30</f>
        <v>0</v>
      </c>
      <c r="K30" s="271">
        <f>'Contingency Tables 12.2'!K30</f>
        <v>0</v>
      </c>
      <c r="L30" s="271">
        <f>'Contingency Tables 12.2'!L30</f>
        <v>0</v>
      </c>
      <c r="M30" s="271">
        <f>'Contingency Tables 12.2'!M30</f>
        <v>0</v>
      </c>
      <c r="N30" s="271">
        <f>'Contingency Tables 12.2'!N30</f>
        <v>0</v>
      </c>
      <c r="O30" s="271">
        <f>'Contingency Tables 12.2'!O30</f>
        <v>0</v>
      </c>
      <c r="P30" s="271">
        <f>'Contingency Tables 12.2'!P30</f>
        <v>0</v>
      </c>
      <c r="Q30" s="271">
        <f>'Contingency Tables 12.2'!Q30</f>
        <v>0</v>
      </c>
      <c r="R30" s="271">
        <f>'Contingency Tables 12.2'!R30</f>
        <v>0</v>
      </c>
      <c r="S30" s="271">
        <f>'Contingency Tables 12.2'!S30</f>
        <v>0</v>
      </c>
      <c r="T30" s="271">
        <f>'Contingency Tables 12.2'!T30</f>
        <v>0</v>
      </c>
      <c r="U30" s="271">
        <f>'Contingency Tables 12.2'!U30</f>
        <v>0</v>
      </c>
      <c r="V30" s="13">
        <f>'Contingency Tables 12.2'!V30</f>
        <v>584</v>
      </c>
    </row>
  </sheetData>
  <mergeCells count="1">
    <mergeCell ref="B7:U7"/>
  </mergeCells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7" zoomScale="140" zoomScaleNormal="140" workbookViewId="0">
      <selection activeCell="B15" sqref="B15"/>
    </sheetView>
  </sheetViews>
  <sheetFormatPr defaultRowHeight="15.75" x14ac:dyDescent="0.25"/>
  <cols>
    <col min="2" max="21" width="6.5546875" customWidth="1"/>
    <col min="22" max="22" width="10.5546875" style="2" customWidth="1"/>
  </cols>
  <sheetData>
    <row r="1" spans="1:23" x14ac:dyDescent="0.25">
      <c r="A1" s="290"/>
      <c r="B1" s="290"/>
      <c r="C1" s="290"/>
      <c r="D1" s="290"/>
      <c r="E1" s="290"/>
      <c r="F1" s="290"/>
      <c r="G1" s="290"/>
      <c r="H1" s="290"/>
      <c r="I1" s="115"/>
      <c r="J1" s="115"/>
      <c r="K1" s="115"/>
      <c r="L1" s="29"/>
      <c r="M1" s="272"/>
      <c r="N1" s="29"/>
      <c r="O1" s="29"/>
      <c r="P1" s="243"/>
      <c r="Q1" s="243"/>
      <c r="R1" s="243"/>
      <c r="S1" s="243"/>
      <c r="T1" s="29"/>
      <c r="U1" s="347"/>
      <c r="V1" s="347"/>
      <c r="W1" s="347"/>
    </row>
    <row r="2" spans="1:23" x14ac:dyDescent="0.25">
      <c r="A2" s="290"/>
      <c r="B2" s="290"/>
      <c r="C2" s="290"/>
      <c r="D2" s="290"/>
      <c r="E2" s="290"/>
      <c r="F2" s="290"/>
      <c r="G2" s="290"/>
      <c r="H2" s="290"/>
      <c r="I2" s="115"/>
      <c r="J2" s="115"/>
      <c r="K2" s="115"/>
      <c r="L2" s="29"/>
      <c r="M2" s="272"/>
      <c r="N2" s="29"/>
      <c r="O2" s="29"/>
      <c r="P2" s="29"/>
      <c r="Q2" s="29"/>
      <c r="R2" s="272"/>
      <c r="S2" s="104"/>
      <c r="T2" s="29"/>
      <c r="U2" s="288"/>
      <c r="V2" s="288"/>
      <c r="W2" s="29"/>
    </row>
    <row r="3" spans="1:23" x14ac:dyDescent="0.25">
      <c r="L3" s="29"/>
      <c r="M3" s="272"/>
      <c r="N3" s="29"/>
      <c r="O3" s="29"/>
      <c r="P3" s="29"/>
      <c r="Q3" s="29"/>
      <c r="R3" s="272"/>
      <c r="S3" s="104"/>
      <c r="T3" s="29"/>
      <c r="U3" s="288"/>
      <c r="V3" s="289"/>
      <c r="W3" s="287"/>
    </row>
    <row r="4" spans="1:23" x14ac:dyDescent="0.25">
      <c r="L4" s="29"/>
      <c r="M4" s="272"/>
      <c r="N4" s="29"/>
      <c r="O4" s="29"/>
      <c r="P4" s="29"/>
      <c r="Q4" s="29"/>
      <c r="R4" s="272"/>
      <c r="S4" s="104"/>
      <c r="T4" s="29"/>
      <c r="U4" s="288"/>
      <c r="V4" s="288"/>
      <c r="W4" s="29"/>
    </row>
    <row r="5" spans="1:23" x14ac:dyDescent="0.25">
      <c r="L5" s="29"/>
      <c r="M5" s="272"/>
      <c r="N5" s="29"/>
      <c r="O5" s="29"/>
      <c r="P5" s="29"/>
      <c r="Q5" s="29"/>
      <c r="R5" s="272"/>
      <c r="S5" s="287"/>
      <c r="T5" s="29"/>
      <c r="U5" s="29"/>
      <c r="V5" s="15"/>
      <c r="W5" s="29"/>
    </row>
    <row r="6" spans="1:23" ht="16.5" thickBot="1" x14ac:dyDescent="0.3">
      <c r="A6" s="105" t="s">
        <v>311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71"/>
    </row>
    <row r="7" spans="1:23" ht="16.5" thickBot="1" x14ac:dyDescent="0.3">
      <c r="A7" s="91" t="s">
        <v>302</v>
      </c>
      <c r="B7" s="328" t="s">
        <v>305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91" t="s">
        <v>302</v>
      </c>
    </row>
    <row r="8" spans="1:23" s="1" customFormat="1" ht="16.5" thickBot="1" x14ac:dyDescent="0.3">
      <c r="A8" s="13" t="s">
        <v>303</v>
      </c>
      <c r="B8" s="105">
        <v>1</v>
      </c>
      <c r="C8" s="105">
        <v>2</v>
      </c>
      <c r="D8" s="105">
        <v>3</v>
      </c>
      <c r="E8" s="105">
        <v>4</v>
      </c>
      <c r="F8" s="105">
        <v>5</v>
      </c>
      <c r="G8" s="105">
        <v>6</v>
      </c>
      <c r="H8" s="105">
        <v>7</v>
      </c>
      <c r="I8" s="105">
        <v>8</v>
      </c>
      <c r="J8" s="105">
        <v>9</v>
      </c>
      <c r="K8" s="105">
        <v>10</v>
      </c>
      <c r="L8" s="105">
        <v>11</v>
      </c>
      <c r="M8" s="105">
        <v>12</v>
      </c>
      <c r="N8" s="105">
        <v>13</v>
      </c>
      <c r="O8" s="105">
        <v>14</v>
      </c>
      <c r="P8" s="105">
        <v>15</v>
      </c>
      <c r="Q8" s="105">
        <v>16</v>
      </c>
      <c r="R8" s="105">
        <v>17</v>
      </c>
      <c r="S8" s="105">
        <v>18</v>
      </c>
      <c r="T8" s="105">
        <v>19</v>
      </c>
      <c r="U8" s="105">
        <v>20</v>
      </c>
      <c r="V8" s="13" t="s">
        <v>304</v>
      </c>
    </row>
    <row r="9" spans="1:23" x14ac:dyDescent="0.25">
      <c r="A9" s="11">
        <v>1</v>
      </c>
      <c r="B9">
        <f>IF('Expected 12.2'!B9=0,0,('Contingency Tables 12.2'!B9-'Expected 12.2'!B9)^2/'Expected 12.2'!B9)</f>
        <v>60.828498522696748</v>
      </c>
      <c r="C9">
        <f>IF('Expected 12.2'!C9=0,0,('Contingency Tables 12.2'!C9-'Expected 12.2'!C9)^2/'Expected 12.2'!C9)</f>
        <v>16.590977191603198</v>
      </c>
      <c r="D9">
        <f>IF('Expected 12.2'!D9=0,0,('Contingency Tables 12.2'!D9-'Expected 12.2'!D9)^2/'Expected 12.2'!D9)</f>
        <v>16.096254967878252</v>
      </c>
      <c r="E9">
        <f>IF('Expected 12.2'!E9=0,0,('Contingency Tables 12.2'!E9-'Expected 12.2'!E9)^2/'Expected 12.2'!E9)</f>
        <v>0</v>
      </c>
      <c r="F9">
        <f>IF('Expected 12.2'!F9=0,0,('Contingency Tables 12.2'!F9-'Expected 12.2'!F9)^2/'Expected 12.2'!F9)</f>
        <v>0</v>
      </c>
      <c r="G9">
        <f>IF('Expected 12.2'!G9=0,0,('Contingency Tables 12.2'!G9-'Expected 12.2'!G9)^2/'Expected 12.2'!G9)</f>
        <v>0</v>
      </c>
      <c r="H9">
        <f>IF('Expected 12.2'!H9=0,0,('Contingency Tables 12.2'!H9-'Expected 12.2'!H9)^2/'Expected 12.2'!H9)</f>
        <v>0</v>
      </c>
      <c r="I9">
        <f>IF('Expected 12.2'!I9=0,0,('Contingency Tables 12.2'!I9-'Expected 12.2'!I9)^2/'Expected 12.2'!I9)</f>
        <v>0</v>
      </c>
      <c r="J9">
        <f>IF('Expected 12.2'!J9=0,0,('Contingency Tables 12.2'!J9-'Expected 12.2'!J9)^2/'Expected 12.2'!J9)</f>
        <v>0</v>
      </c>
      <c r="K9">
        <f>IF('Expected 12.2'!K9=0,0,('Contingency Tables 12.2'!K9-'Expected 12.2'!K9)^2/'Expected 12.2'!K9)</f>
        <v>0</v>
      </c>
      <c r="L9">
        <f>IF('Expected 12.2'!L9=0,0,('Contingency Tables 12.2'!L9-'Expected 12.2'!L9)^2/'Expected 12.2'!L9)</f>
        <v>0</v>
      </c>
      <c r="M9">
        <f>IF('Expected 12.2'!M9=0,0,('Contingency Tables 12.2'!M9-'Expected 12.2'!M9)^2/'Expected 12.2'!M9)</f>
        <v>0</v>
      </c>
      <c r="N9">
        <f>IF('Expected 12.2'!N9=0,0,('Contingency Tables 12.2'!N9-'Expected 12.2'!N9)^2/'Expected 12.2'!N9)</f>
        <v>0</v>
      </c>
      <c r="O9">
        <f>IF('Expected 12.2'!O9=0,0,('Contingency Tables 12.2'!O9-'Expected 12.2'!O9)^2/'Expected 12.2'!O9)</f>
        <v>0</v>
      </c>
      <c r="P9">
        <f>IF('Expected 12.2'!P9=0,0,('Contingency Tables 12.2'!P9-'Expected 12.2'!P9)^2/'Expected 12.2'!P9)</f>
        <v>0</v>
      </c>
      <c r="Q9">
        <f>IF('Expected 12.2'!Q9=0,0,('Contingency Tables 12.2'!Q9-'Expected 12.2'!Q9)^2/'Expected 12.2'!Q9)</f>
        <v>0</v>
      </c>
      <c r="R9">
        <f>IF('Expected 12.2'!R9=0,0,('Contingency Tables 12.2'!R9-'Expected 12.2'!R9)^2/'Expected 12.2'!R9)</f>
        <v>0</v>
      </c>
      <c r="S9">
        <f>IF('Expected 12.2'!S9=0,0,('Contingency Tables 12.2'!S9-'Expected 12.2'!S9)^2/'Expected 12.2'!S9)</f>
        <v>0</v>
      </c>
      <c r="T9">
        <f>IF('Expected 12.2'!T9=0,0,('Contingency Tables 12.2'!T9-'Expected 12.2'!T9)^2/'Expected 12.2'!T9)</f>
        <v>0</v>
      </c>
      <c r="U9">
        <f>IF('Expected 12.2'!U9=0,0,('Contingency Tables 12.2'!U9-'Expected 12.2'!U9)^2/'Expected 12.2'!U9)</f>
        <v>0</v>
      </c>
      <c r="V9" s="11">
        <f>'Contingency Tables 12.2'!V9</f>
        <v>196</v>
      </c>
    </row>
    <row r="10" spans="1:23" x14ac:dyDescent="0.25">
      <c r="A10" s="11">
        <v>2</v>
      </c>
      <c r="B10">
        <f>IF('Expected 12.2'!B10=0,0,('Contingency Tables 12.2'!B10-'Expected 12.2'!B10)^2/'Expected 12.2'!B10)</f>
        <v>0</v>
      </c>
      <c r="C10">
        <f>IF('Expected 12.2'!C10=0,0,('Contingency Tables 12.2'!C10-'Expected 12.2'!C10)^2/'Expected 12.2'!C10)</f>
        <v>0</v>
      </c>
      <c r="D10">
        <f>IF('Expected 12.2'!D10=0,0,('Contingency Tables 12.2'!D10-'Expected 12.2'!D10)^2/'Expected 12.2'!D10)</f>
        <v>0</v>
      </c>
      <c r="E10">
        <f>IF('Expected 12.2'!E10=0,0,('Contingency Tables 12.2'!E10-'Expected 12.2'!E10)^2/'Expected 12.2'!E10)</f>
        <v>0</v>
      </c>
      <c r="F10">
        <f>IF('Expected 12.2'!F10=0,0,('Contingency Tables 12.2'!F10-'Expected 12.2'!F10)^2/'Expected 12.2'!F10)</f>
        <v>0</v>
      </c>
      <c r="G10">
        <f>IF('Expected 12.2'!G10=0,0,('Contingency Tables 12.2'!G10-'Expected 12.2'!G10)^2/'Expected 12.2'!G10)</f>
        <v>0</v>
      </c>
      <c r="H10">
        <f>IF('Expected 12.2'!H10=0,0,('Contingency Tables 12.2'!H10-'Expected 12.2'!H10)^2/'Expected 12.2'!H10)</f>
        <v>0</v>
      </c>
      <c r="I10">
        <f>IF('Expected 12.2'!I10=0,0,('Contingency Tables 12.2'!I10-'Expected 12.2'!I10)^2/'Expected 12.2'!I10)</f>
        <v>0</v>
      </c>
      <c r="J10">
        <f>IF('Expected 12.2'!J10=0,0,('Contingency Tables 12.2'!J10-'Expected 12.2'!J10)^2/'Expected 12.2'!J10)</f>
        <v>0</v>
      </c>
      <c r="K10">
        <f>IF('Expected 12.2'!K10=0,0,('Contingency Tables 12.2'!K10-'Expected 12.2'!K10)^2/'Expected 12.2'!K10)</f>
        <v>0</v>
      </c>
      <c r="L10">
        <f>IF('Expected 12.2'!L10=0,0,('Contingency Tables 12.2'!L10-'Expected 12.2'!L10)^2/'Expected 12.2'!L10)</f>
        <v>0</v>
      </c>
      <c r="M10">
        <f>IF('Expected 12.2'!M10=0,0,('Contingency Tables 12.2'!M10-'Expected 12.2'!M10)^2/'Expected 12.2'!M10)</f>
        <v>0</v>
      </c>
      <c r="N10">
        <f>IF('Expected 12.2'!N10=0,0,('Contingency Tables 12.2'!N10-'Expected 12.2'!N10)^2/'Expected 12.2'!N10)</f>
        <v>0</v>
      </c>
      <c r="O10">
        <f>IF('Expected 12.2'!O10=0,0,('Contingency Tables 12.2'!O10-'Expected 12.2'!O10)^2/'Expected 12.2'!O10)</f>
        <v>0</v>
      </c>
      <c r="P10">
        <f>IF('Expected 12.2'!P10=0,0,('Contingency Tables 12.2'!P10-'Expected 12.2'!P10)^2/'Expected 12.2'!P10)</f>
        <v>0</v>
      </c>
      <c r="Q10">
        <f>IF('Expected 12.2'!Q10=0,0,('Contingency Tables 12.2'!Q10-'Expected 12.2'!Q10)^2/'Expected 12.2'!Q10)</f>
        <v>0</v>
      </c>
      <c r="R10">
        <f>IF('Expected 12.2'!R10=0,0,('Contingency Tables 12.2'!R10-'Expected 12.2'!R10)^2/'Expected 12.2'!R10)</f>
        <v>0</v>
      </c>
      <c r="S10">
        <f>IF('Expected 12.2'!S10=0,0,('Contingency Tables 12.2'!S10-'Expected 12.2'!S10)^2/'Expected 12.2'!S10)</f>
        <v>0</v>
      </c>
      <c r="T10">
        <f>IF('Expected 12.2'!T10=0,0,('Contingency Tables 12.2'!T10-'Expected 12.2'!T10)^2/'Expected 12.2'!T10)</f>
        <v>0</v>
      </c>
      <c r="U10">
        <f>IF('Expected 12.2'!U10=0,0,('Contingency Tables 12.2'!U10-'Expected 12.2'!U10)^2/'Expected 12.2'!U10)</f>
        <v>0</v>
      </c>
      <c r="V10" s="11">
        <f>'Contingency Tables 12.2'!V10</f>
        <v>0</v>
      </c>
    </row>
    <row r="11" spans="1:23" x14ac:dyDescent="0.25">
      <c r="A11" s="11">
        <v>3</v>
      </c>
      <c r="B11">
        <f>IF('Expected 12.2'!B11=0,0,('Contingency Tables 12.2'!B11-'Expected 12.2'!B11)^2/'Expected 12.2'!B11)</f>
        <v>0</v>
      </c>
      <c r="C11">
        <f>IF('Expected 12.2'!C11=0,0,('Contingency Tables 12.2'!C11-'Expected 12.2'!C11)^2/'Expected 12.2'!C11)</f>
        <v>0</v>
      </c>
      <c r="D11">
        <f>IF('Expected 12.2'!D11=0,0,('Contingency Tables 12.2'!D11-'Expected 12.2'!D11)^2/'Expected 12.2'!D11)</f>
        <v>0</v>
      </c>
      <c r="E11">
        <f>IF('Expected 12.2'!E11=0,0,('Contingency Tables 12.2'!E11-'Expected 12.2'!E11)^2/'Expected 12.2'!E11)</f>
        <v>0</v>
      </c>
      <c r="F11">
        <f>IF('Expected 12.2'!F11=0,0,('Contingency Tables 12.2'!F11-'Expected 12.2'!F11)^2/'Expected 12.2'!F11)</f>
        <v>0</v>
      </c>
      <c r="G11">
        <f>IF('Expected 12.2'!G11=0,0,('Contingency Tables 12.2'!G11-'Expected 12.2'!G11)^2/'Expected 12.2'!G11)</f>
        <v>0</v>
      </c>
      <c r="H11">
        <f>IF('Expected 12.2'!H11=0,0,('Contingency Tables 12.2'!H11-'Expected 12.2'!H11)^2/'Expected 12.2'!H11)</f>
        <v>0</v>
      </c>
      <c r="I11">
        <f>IF('Expected 12.2'!I11=0,0,('Contingency Tables 12.2'!I11-'Expected 12.2'!I11)^2/'Expected 12.2'!I11)</f>
        <v>0</v>
      </c>
      <c r="J11">
        <f>IF('Expected 12.2'!J11=0,0,('Contingency Tables 12.2'!J11-'Expected 12.2'!J11)^2/'Expected 12.2'!J11)</f>
        <v>0</v>
      </c>
      <c r="K11">
        <f>IF('Expected 12.2'!K11=0,0,('Contingency Tables 12.2'!K11-'Expected 12.2'!K11)^2/'Expected 12.2'!K11)</f>
        <v>0</v>
      </c>
      <c r="L11">
        <f>IF('Expected 12.2'!L11=0,0,('Contingency Tables 12.2'!L11-'Expected 12.2'!L11)^2/'Expected 12.2'!L11)</f>
        <v>0</v>
      </c>
      <c r="M11">
        <f>IF('Expected 12.2'!M11=0,0,('Contingency Tables 12.2'!M11-'Expected 12.2'!M11)^2/'Expected 12.2'!M11)</f>
        <v>0</v>
      </c>
      <c r="N11">
        <f>IF('Expected 12.2'!N11=0,0,('Contingency Tables 12.2'!N11-'Expected 12.2'!N11)^2/'Expected 12.2'!N11)</f>
        <v>0</v>
      </c>
      <c r="O11">
        <f>IF('Expected 12.2'!O11=0,0,('Contingency Tables 12.2'!O11-'Expected 12.2'!O11)^2/'Expected 12.2'!O11)</f>
        <v>0</v>
      </c>
      <c r="P11">
        <f>IF('Expected 12.2'!P11=0,0,('Contingency Tables 12.2'!P11-'Expected 12.2'!P11)^2/'Expected 12.2'!P11)</f>
        <v>0</v>
      </c>
      <c r="Q11">
        <f>IF('Expected 12.2'!Q11=0,0,('Contingency Tables 12.2'!Q11-'Expected 12.2'!Q11)^2/'Expected 12.2'!Q11)</f>
        <v>0</v>
      </c>
      <c r="R11">
        <f>IF('Expected 12.2'!R11=0,0,('Contingency Tables 12.2'!R11-'Expected 12.2'!R11)^2/'Expected 12.2'!R11)</f>
        <v>0</v>
      </c>
      <c r="S11">
        <f>IF('Expected 12.2'!S11=0,0,('Contingency Tables 12.2'!S11-'Expected 12.2'!S11)^2/'Expected 12.2'!S11)</f>
        <v>0</v>
      </c>
      <c r="T11">
        <f>IF('Expected 12.2'!T11=0,0,('Contingency Tables 12.2'!T11-'Expected 12.2'!T11)^2/'Expected 12.2'!T11)</f>
        <v>0</v>
      </c>
      <c r="U11">
        <f>IF('Expected 12.2'!U11=0,0,('Contingency Tables 12.2'!U11-'Expected 12.2'!U11)^2/'Expected 12.2'!U11)</f>
        <v>0</v>
      </c>
      <c r="V11" s="11">
        <f>'Contingency Tables 12.2'!V11</f>
        <v>0</v>
      </c>
    </row>
    <row r="12" spans="1:23" x14ac:dyDescent="0.25">
      <c r="A12" s="11">
        <v>4</v>
      </c>
      <c r="B12">
        <f>IF('Expected 12.2'!B12=0,0,('Contingency Tables 12.2'!B12-'Expected 12.2'!B12)^2/'Expected 12.2'!B12)</f>
        <v>7.3038064540884866</v>
      </c>
      <c r="C12">
        <f>IF('Expected 12.2'!C12=0,0,('Contingency Tables 12.2'!C12-'Expected 12.2'!C12)^2/'Expected 12.2'!C12)</f>
        <v>57.328779286633299</v>
      </c>
      <c r="D12">
        <f>IF('Expected 12.2'!D12=0,0,('Contingency Tables 12.2'!D12-'Expected 12.2'!D12)^2/'Expected 12.2'!D12)</f>
        <v>20.112825625190531</v>
      </c>
      <c r="E12">
        <f>IF('Expected 12.2'!E12=0,0,('Contingency Tables 12.2'!E12-'Expected 12.2'!E12)^2/'Expected 12.2'!E12)</f>
        <v>0</v>
      </c>
      <c r="F12">
        <f>IF('Expected 12.2'!F12=0,0,('Contingency Tables 12.2'!F12-'Expected 12.2'!F12)^2/'Expected 12.2'!F12)</f>
        <v>0</v>
      </c>
      <c r="G12">
        <f>IF('Expected 12.2'!G12=0,0,('Contingency Tables 12.2'!G12-'Expected 12.2'!G12)^2/'Expected 12.2'!G12)</f>
        <v>0</v>
      </c>
      <c r="H12">
        <f>IF('Expected 12.2'!H12=0,0,('Contingency Tables 12.2'!H12-'Expected 12.2'!H12)^2/'Expected 12.2'!H12)</f>
        <v>0</v>
      </c>
      <c r="I12">
        <f>IF('Expected 12.2'!I12=0,0,('Contingency Tables 12.2'!I12-'Expected 12.2'!I12)^2/'Expected 12.2'!I12)</f>
        <v>0</v>
      </c>
      <c r="J12">
        <f>IF('Expected 12.2'!J12=0,0,('Contingency Tables 12.2'!J12-'Expected 12.2'!J12)^2/'Expected 12.2'!J12)</f>
        <v>0</v>
      </c>
      <c r="K12">
        <f>IF('Expected 12.2'!K12=0,0,('Contingency Tables 12.2'!K12-'Expected 12.2'!K12)^2/'Expected 12.2'!K12)</f>
        <v>0</v>
      </c>
      <c r="L12">
        <f>IF('Expected 12.2'!L12=0,0,('Contingency Tables 12.2'!L12-'Expected 12.2'!L12)^2/'Expected 12.2'!L12)</f>
        <v>0</v>
      </c>
      <c r="M12">
        <f>IF('Expected 12.2'!M12=0,0,('Contingency Tables 12.2'!M12-'Expected 12.2'!M12)^2/'Expected 12.2'!M12)</f>
        <v>0</v>
      </c>
      <c r="N12">
        <f>IF('Expected 12.2'!N12=0,0,('Contingency Tables 12.2'!N12-'Expected 12.2'!N12)^2/'Expected 12.2'!N12)</f>
        <v>0</v>
      </c>
      <c r="O12">
        <f>IF('Expected 12.2'!O12=0,0,('Contingency Tables 12.2'!O12-'Expected 12.2'!O12)^2/'Expected 12.2'!O12)</f>
        <v>0</v>
      </c>
      <c r="P12">
        <f>IF('Expected 12.2'!P12=0,0,('Contingency Tables 12.2'!P12-'Expected 12.2'!P12)^2/'Expected 12.2'!P12)</f>
        <v>0</v>
      </c>
      <c r="Q12">
        <f>IF('Expected 12.2'!Q12=0,0,('Contingency Tables 12.2'!Q12-'Expected 12.2'!Q12)^2/'Expected 12.2'!Q12)</f>
        <v>0</v>
      </c>
      <c r="R12">
        <f>IF('Expected 12.2'!R12=0,0,('Contingency Tables 12.2'!R12-'Expected 12.2'!R12)^2/'Expected 12.2'!R12)</f>
        <v>0</v>
      </c>
      <c r="S12">
        <f>IF('Expected 12.2'!S12=0,0,('Contingency Tables 12.2'!S12-'Expected 12.2'!S12)^2/'Expected 12.2'!S12)</f>
        <v>0</v>
      </c>
      <c r="T12">
        <f>IF('Expected 12.2'!T12=0,0,('Contingency Tables 12.2'!T12-'Expected 12.2'!T12)^2/'Expected 12.2'!T12)</f>
        <v>0</v>
      </c>
      <c r="U12">
        <f>IF('Expected 12.2'!U12=0,0,('Contingency Tables 12.2'!U12-'Expected 12.2'!U12)^2/'Expected 12.2'!U12)</f>
        <v>0</v>
      </c>
      <c r="V12" s="11">
        <f>'Contingency Tables 12.2'!V12</f>
        <v>175</v>
      </c>
    </row>
    <row r="13" spans="1:23" x14ac:dyDescent="0.25">
      <c r="A13" s="11">
        <v>5</v>
      </c>
      <c r="B13">
        <f>IF('Expected 12.2'!B13=0,0,('Contingency Tables 12.2'!B13-'Expected 12.2'!B13)^2/'Expected 12.2'!B13)</f>
        <v>0</v>
      </c>
      <c r="C13">
        <f>IF('Expected 12.2'!C13=0,0,('Contingency Tables 12.2'!C13-'Expected 12.2'!C13)^2/'Expected 12.2'!C13)</f>
        <v>0</v>
      </c>
      <c r="D13">
        <f>IF('Expected 12.2'!D13=0,0,('Contingency Tables 12.2'!D13-'Expected 12.2'!D13)^2/'Expected 12.2'!D13)</f>
        <v>0</v>
      </c>
      <c r="E13">
        <f>IF('Expected 12.2'!E13=0,0,('Contingency Tables 12.2'!E13-'Expected 12.2'!E13)^2/'Expected 12.2'!E13)</f>
        <v>0</v>
      </c>
      <c r="F13">
        <f>IF('Expected 12.2'!F13=0,0,('Contingency Tables 12.2'!F13-'Expected 12.2'!F13)^2/'Expected 12.2'!F13)</f>
        <v>0</v>
      </c>
      <c r="G13">
        <f>IF('Expected 12.2'!G13=0,0,('Contingency Tables 12.2'!G13-'Expected 12.2'!G13)^2/'Expected 12.2'!G13)</f>
        <v>0</v>
      </c>
      <c r="H13">
        <f>IF('Expected 12.2'!H13=0,0,('Contingency Tables 12.2'!H13-'Expected 12.2'!H13)^2/'Expected 12.2'!H13)</f>
        <v>0</v>
      </c>
      <c r="I13">
        <f>IF('Expected 12.2'!I13=0,0,('Contingency Tables 12.2'!I13-'Expected 12.2'!I13)^2/'Expected 12.2'!I13)</f>
        <v>0</v>
      </c>
      <c r="J13">
        <f>IF('Expected 12.2'!J13=0,0,('Contingency Tables 12.2'!J13-'Expected 12.2'!J13)^2/'Expected 12.2'!J13)</f>
        <v>0</v>
      </c>
      <c r="K13">
        <f>IF('Expected 12.2'!K13=0,0,('Contingency Tables 12.2'!K13-'Expected 12.2'!K13)^2/'Expected 12.2'!K13)</f>
        <v>0</v>
      </c>
      <c r="L13">
        <f>IF('Expected 12.2'!L13=0,0,('Contingency Tables 12.2'!L13-'Expected 12.2'!L13)^2/'Expected 12.2'!L13)</f>
        <v>0</v>
      </c>
      <c r="M13">
        <f>IF('Expected 12.2'!M13=0,0,('Contingency Tables 12.2'!M13-'Expected 12.2'!M13)^2/'Expected 12.2'!M13)</f>
        <v>0</v>
      </c>
      <c r="N13">
        <f>IF('Expected 12.2'!N13=0,0,('Contingency Tables 12.2'!N13-'Expected 12.2'!N13)^2/'Expected 12.2'!N13)</f>
        <v>0</v>
      </c>
      <c r="O13">
        <f>IF('Expected 12.2'!O13=0,0,('Contingency Tables 12.2'!O13-'Expected 12.2'!O13)^2/'Expected 12.2'!O13)</f>
        <v>0</v>
      </c>
      <c r="P13">
        <f>IF('Expected 12.2'!P13=0,0,('Contingency Tables 12.2'!P13-'Expected 12.2'!P13)^2/'Expected 12.2'!P13)</f>
        <v>0</v>
      </c>
      <c r="Q13">
        <f>IF('Expected 12.2'!Q13=0,0,('Contingency Tables 12.2'!Q13-'Expected 12.2'!Q13)^2/'Expected 12.2'!Q13)</f>
        <v>0</v>
      </c>
      <c r="R13">
        <f>IF('Expected 12.2'!R13=0,0,('Contingency Tables 12.2'!R13-'Expected 12.2'!R13)^2/'Expected 12.2'!R13)</f>
        <v>0</v>
      </c>
      <c r="S13">
        <f>IF('Expected 12.2'!S13=0,0,('Contingency Tables 12.2'!S13-'Expected 12.2'!S13)^2/'Expected 12.2'!S13)</f>
        <v>0</v>
      </c>
      <c r="T13">
        <f>IF('Expected 12.2'!T13=0,0,('Contingency Tables 12.2'!T13-'Expected 12.2'!T13)^2/'Expected 12.2'!T13)</f>
        <v>0</v>
      </c>
      <c r="U13">
        <f>IF('Expected 12.2'!U13=0,0,('Contingency Tables 12.2'!U13-'Expected 12.2'!U13)^2/'Expected 12.2'!U13)</f>
        <v>0</v>
      </c>
      <c r="V13" s="11">
        <f>'Contingency Tables 12.2'!V13</f>
        <v>0</v>
      </c>
    </row>
    <row r="14" spans="1:23" x14ac:dyDescent="0.25">
      <c r="A14" s="11">
        <v>6</v>
      </c>
      <c r="B14">
        <f>IF('Expected 12.2'!B14=0,0,('Contingency Tables 12.2'!B14-'Expected 12.2'!B14)^2/'Expected 12.2'!B14)</f>
        <v>0</v>
      </c>
      <c r="C14">
        <f>IF('Expected 12.2'!C14=0,0,('Contingency Tables 12.2'!C14-'Expected 12.2'!C14)^2/'Expected 12.2'!C14)</f>
        <v>0</v>
      </c>
      <c r="D14">
        <f>IF('Expected 12.2'!D14=0,0,('Contingency Tables 12.2'!D14-'Expected 12.2'!D14)^2/'Expected 12.2'!D14)</f>
        <v>0</v>
      </c>
      <c r="E14">
        <f>IF('Expected 12.2'!E14=0,0,('Contingency Tables 12.2'!E14-'Expected 12.2'!E14)^2/'Expected 12.2'!E14)</f>
        <v>0</v>
      </c>
      <c r="F14">
        <f>IF('Expected 12.2'!F14=0,0,('Contingency Tables 12.2'!F14-'Expected 12.2'!F14)^2/'Expected 12.2'!F14)</f>
        <v>0</v>
      </c>
      <c r="G14">
        <f>IF('Expected 12.2'!G14=0,0,('Contingency Tables 12.2'!G14-'Expected 12.2'!G14)^2/'Expected 12.2'!G14)</f>
        <v>0</v>
      </c>
      <c r="H14">
        <f>IF('Expected 12.2'!H14=0,0,('Contingency Tables 12.2'!H14-'Expected 12.2'!H14)^2/'Expected 12.2'!H14)</f>
        <v>0</v>
      </c>
      <c r="I14">
        <f>IF('Expected 12.2'!I14=0,0,('Contingency Tables 12.2'!I14-'Expected 12.2'!I14)^2/'Expected 12.2'!I14)</f>
        <v>0</v>
      </c>
      <c r="J14">
        <f>IF('Expected 12.2'!J14=0,0,('Contingency Tables 12.2'!J14-'Expected 12.2'!J14)^2/'Expected 12.2'!J14)</f>
        <v>0</v>
      </c>
      <c r="K14">
        <f>IF('Expected 12.2'!K14=0,0,('Contingency Tables 12.2'!K14-'Expected 12.2'!K14)^2/'Expected 12.2'!K14)</f>
        <v>0</v>
      </c>
      <c r="L14">
        <f>IF('Expected 12.2'!L14=0,0,('Contingency Tables 12.2'!L14-'Expected 12.2'!L14)^2/'Expected 12.2'!L14)</f>
        <v>0</v>
      </c>
      <c r="M14">
        <f>IF('Expected 12.2'!M14=0,0,('Contingency Tables 12.2'!M14-'Expected 12.2'!M14)^2/'Expected 12.2'!M14)</f>
        <v>0</v>
      </c>
      <c r="N14">
        <f>IF('Expected 12.2'!N14=0,0,('Contingency Tables 12.2'!N14-'Expected 12.2'!N14)^2/'Expected 12.2'!N14)</f>
        <v>0</v>
      </c>
      <c r="O14">
        <f>IF('Expected 12.2'!O14=0,0,('Contingency Tables 12.2'!O14-'Expected 12.2'!O14)^2/'Expected 12.2'!O14)</f>
        <v>0</v>
      </c>
      <c r="P14">
        <f>IF('Expected 12.2'!P14=0,0,('Contingency Tables 12.2'!P14-'Expected 12.2'!P14)^2/'Expected 12.2'!P14)</f>
        <v>0</v>
      </c>
      <c r="Q14">
        <f>IF('Expected 12.2'!Q14=0,0,('Contingency Tables 12.2'!Q14-'Expected 12.2'!Q14)^2/'Expected 12.2'!Q14)</f>
        <v>0</v>
      </c>
      <c r="R14">
        <f>IF('Expected 12.2'!R14=0,0,('Contingency Tables 12.2'!R14-'Expected 12.2'!R14)^2/'Expected 12.2'!R14)</f>
        <v>0</v>
      </c>
      <c r="S14">
        <f>IF('Expected 12.2'!S14=0,0,('Contingency Tables 12.2'!S14-'Expected 12.2'!S14)^2/'Expected 12.2'!S14)</f>
        <v>0</v>
      </c>
      <c r="T14">
        <f>IF('Expected 12.2'!T14=0,0,('Contingency Tables 12.2'!T14-'Expected 12.2'!T14)^2/'Expected 12.2'!T14)</f>
        <v>0</v>
      </c>
      <c r="U14">
        <f>IF('Expected 12.2'!U14=0,0,('Contingency Tables 12.2'!U14-'Expected 12.2'!U14)^2/'Expected 12.2'!U14)</f>
        <v>0</v>
      </c>
      <c r="V14" s="11">
        <f>'Contingency Tables 12.2'!V14</f>
        <v>0</v>
      </c>
    </row>
    <row r="15" spans="1:23" x14ac:dyDescent="0.25">
      <c r="A15" s="11">
        <v>7</v>
      </c>
      <c r="B15">
        <f>IF('Expected 12.2'!B15=0,0,('Contingency Tables 12.2'!B15-'Expected 12.2'!B15)^2/'Expected 12.2'!B15)</f>
        <v>25.320062824795496</v>
      </c>
      <c r="C15">
        <f>IF('Expected 12.2'!C15=0,0,('Contingency Tables 12.2'!C15-'Expected 12.2'!C15)^2/'Expected 12.2'!C15)</f>
        <v>8.7364443415202508</v>
      </c>
      <c r="D15">
        <f>IF('Expected 12.2'!D15=0,0,('Contingency Tables 12.2'!D15-'Expected 12.2'!D15)^2/'Expected 12.2'!D15)</f>
        <v>62.625540437734387</v>
      </c>
      <c r="E15">
        <f>IF('Expected 12.2'!E15=0,0,('Contingency Tables 12.2'!E15-'Expected 12.2'!E15)^2/'Expected 12.2'!E15)</f>
        <v>0</v>
      </c>
      <c r="F15">
        <f>IF('Expected 12.2'!F15=0,0,('Contingency Tables 12.2'!F15-'Expected 12.2'!F15)^2/'Expected 12.2'!F15)</f>
        <v>0</v>
      </c>
      <c r="G15">
        <f>IF('Expected 12.2'!G15=0,0,('Contingency Tables 12.2'!G15-'Expected 12.2'!G15)^2/'Expected 12.2'!G15)</f>
        <v>0</v>
      </c>
      <c r="H15">
        <f>IF('Expected 12.2'!H15=0,0,('Contingency Tables 12.2'!H15-'Expected 12.2'!H15)^2/'Expected 12.2'!H15)</f>
        <v>0</v>
      </c>
      <c r="I15">
        <f>IF('Expected 12.2'!I15=0,0,('Contingency Tables 12.2'!I15-'Expected 12.2'!I15)^2/'Expected 12.2'!I15)</f>
        <v>0</v>
      </c>
      <c r="J15">
        <f>IF('Expected 12.2'!J15=0,0,('Contingency Tables 12.2'!J15-'Expected 12.2'!J15)^2/'Expected 12.2'!J15)</f>
        <v>0</v>
      </c>
      <c r="K15">
        <f>IF('Expected 12.2'!K15=0,0,('Contingency Tables 12.2'!K15-'Expected 12.2'!K15)^2/'Expected 12.2'!K15)</f>
        <v>0</v>
      </c>
      <c r="L15">
        <f>IF('Expected 12.2'!L15=0,0,('Contingency Tables 12.2'!L15-'Expected 12.2'!L15)^2/'Expected 12.2'!L15)</f>
        <v>0</v>
      </c>
      <c r="M15">
        <f>IF('Expected 12.2'!M15=0,0,('Contingency Tables 12.2'!M15-'Expected 12.2'!M15)^2/'Expected 12.2'!M15)</f>
        <v>0</v>
      </c>
      <c r="N15">
        <f>IF('Expected 12.2'!N15=0,0,('Contingency Tables 12.2'!N15-'Expected 12.2'!N15)^2/'Expected 12.2'!N15)</f>
        <v>0</v>
      </c>
      <c r="O15">
        <f>IF('Expected 12.2'!O15=0,0,('Contingency Tables 12.2'!O15-'Expected 12.2'!O15)^2/'Expected 12.2'!O15)</f>
        <v>0</v>
      </c>
      <c r="P15">
        <f>IF('Expected 12.2'!P15=0,0,('Contingency Tables 12.2'!P15-'Expected 12.2'!P15)^2/'Expected 12.2'!P15)</f>
        <v>0</v>
      </c>
      <c r="Q15">
        <f>IF('Expected 12.2'!Q15=0,0,('Contingency Tables 12.2'!Q15-'Expected 12.2'!Q15)^2/'Expected 12.2'!Q15)</f>
        <v>0</v>
      </c>
      <c r="R15">
        <f>IF('Expected 12.2'!R15=0,0,('Contingency Tables 12.2'!R15-'Expected 12.2'!R15)^2/'Expected 12.2'!R15)</f>
        <v>0</v>
      </c>
      <c r="S15">
        <f>IF('Expected 12.2'!S15=0,0,('Contingency Tables 12.2'!S15-'Expected 12.2'!S15)^2/'Expected 12.2'!S15)</f>
        <v>0</v>
      </c>
      <c r="T15">
        <f>IF('Expected 12.2'!T15=0,0,('Contingency Tables 12.2'!T15-'Expected 12.2'!T15)^2/'Expected 12.2'!T15)</f>
        <v>0</v>
      </c>
      <c r="U15">
        <f>IF('Expected 12.2'!U15=0,0,('Contingency Tables 12.2'!U15-'Expected 12.2'!U15)^2/'Expected 12.2'!U15)</f>
        <v>0</v>
      </c>
      <c r="V15" s="11">
        <f>'Contingency Tables 12.2'!V15</f>
        <v>213</v>
      </c>
    </row>
    <row r="16" spans="1:23" x14ac:dyDescent="0.25">
      <c r="A16" s="11">
        <v>8</v>
      </c>
      <c r="B16">
        <f>IF('Expected 12.2'!B16=0,0,('Contingency Tables 12.2'!B16-'Expected 12.2'!B16)^2/'Expected 12.2'!B16)</f>
        <v>0</v>
      </c>
      <c r="C16">
        <f>IF('Expected 12.2'!C16=0,0,('Contingency Tables 12.2'!C16-'Expected 12.2'!C16)^2/'Expected 12.2'!C16)</f>
        <v>0</v>
      </c>
      <c r="D16">
        <f>IF('Expected 12.2'!D16=0,0,('Contingency Tables 12.2'!D16-'Expected 12.2'!D16)^2/'Expected 12.2'!D16)</f>
        <v>0</v>
      </c>
      <c r="E16">
        <f>IF('Expected 12.2'!E16=0,0,('Contingency Tables 12.2'!E16-'Expected 12.2'!E16)^2/'Expected 12.2'!E16)</f>
        <v>0</v>
      </c>
      <c r="F16">
        <f>IF('Expected 12.2'!F16=0,0,('Contingency Tables 12.2'!F16-'Expected 12.2'!F16)^2/'Expected 12.2'!F16)</f>
        <v>0</v>
      </c>
      <c r="G16">
        <f>IF('Expected 12.2'!G16=0,0,('Contingency Tables 12.2'!G16-'Expected 12.2'!G16)^2/'Expected 12.2'!G16)</f>
        <v>0</v>
      </c>
      <c r="H16">
        <f>IF('Expected 12.2'!H16=0,0,('Contingency Tables 12.2'!H16-'Expected 12.2'!H16)^2/'Expected 12.2'!H16)</f>
        <v>0</v>
      </c>
      <c r="I16">
        <f>IF('Expected 12.2'!I16=0,0,('Contingency Tables 12.2'!I16-'Expected 12.2'!I16)^2/'Expected 12.2'!I16)</f>
        <v>0</v>
      </c>
      <c r="J16">
        <f>IF('Expected 12.2'!J16=0,0,('Contingency Tables 12.2'!J16-'Expected 12.2'!J16)^2/'Expected 12.2'!J16)</f>
        <v>0</v>
      </c>
      <c r="K16">
        <f>IF('Expected 12.2'!K16=0,0,('Contingency Tables 12.2'!K16-'Expected 12.2'!K16)^2/'Expected 12.2'!K16)</f>
        <v>0</v>
      </c>
      <c r="L16">
        <f>IF('Expected 12.2'!L16=0,0,('Contingency Tables 12.2'!L16-'Expected 12.2'!L16)^2/'Expected 12.2'!L16)</f>
        <v>0</v>
      </c>
      <c r="M16">
        <f>IF('Expected 12.2'!M16=0,0,('Contingency Tables 12.2'!M16-'Expected 12.2'!M16)^2/'Expected 12.2'!M16)</f>
        <v>0</v>
      </c>
      <c r="N16">
        <f>IF('Expected 12.2'!N16=0,0,('Contingency Tables 12.2'!N16-'Expected 12.2'!N16)^2/'Expected 12.2'!N16)</f>
        <v>0</v>
      </c>
      <c r="O16">
        <f>IF('Expected 12.2'!O16=0,0,('Contingency Tables 12.2'!O16-'Expected 12.2'!O16)^2/'Expected 12.2'!O16)</f>
        <v>0</v>
      </c>
      <c r="P16">
        <f>IF('Expected 12.2'!P16=0,0,('Contingency Tables 12.2'!P16-'Expected 12.2'!P16)^2/'Expected 12.2'!P16)</f>
        <v>0</v>
      </c>
      <c r="Q16">
        <f>IF('Expected 12.2'!Q16=0,0,('Contingency Tables 12.2'!Q16-'Expected 12.2'!Q16)^2/'Expected 12.2'!Q16)</f>
        <v>0</v>
      </c>
      <c r="R16">
        <f>IF('Expected 12.2'!R16=0,0,('Contingency Tables 12.2'!R16-'Expected 12.2'!R16)^2/'Expected 12.2'!R16)</f>
        <v>0</v>
      </c>
      <c r="S16">
        <f>IF('Expected 12.2'!S16=0,0,('Contingency Tables 12.2'!S16-'Expected 12.2'!S16)^2/'Expected 12.2'!S16)</f>
        <v>0</v>
      </c>
      <c r="T16">
        <f>IF('Expected 12.2'!T16=0,0,('Contingency Tables 12.2'!T16-'Expected 12.2'!T16)^2/'Expected 12.2'!T16)</f>
        <v>0</v>
      </c>
      <c r="U16">
        <f>IF('Expected 12.2'!U16=0,0,('Contingency Tables 12.2'!U16-'Expected 12.2'!U16)^2/'Expected 12.2'!U16)</f>
        <v>0</v>
      </c>
      <c r="V16" s="11">
        <f>'Contingency Tables 12.2'!V16</f>
        <v>0</v>
      </c>
    </row>
    <row r="17" spans="1:22" x14ac:dyDescent="0.25">
      <c r="A17" s="11">
        <v>9</v>
      </c>
      <c r="B17">
        <f>IF('Expected 12.2'!B17=0,0,('Contingency Tables 12.2'!B17-'Expected 12.2'!B17)^2/'Expected 12.2'!B17)</f>
        <v>0</v>
      </c>
      <c r="C17">
        <f>IF('Expected 12.2'!C17=0,0,('Contingency Tables 12.2'!C17-'Expected 12.2'!C17)^2/'Expected 12.2'!C17)</f>
        <v>0</v>
      </c>
      <c r="D17">
        <f>IF('Expected 12.2'!D17=0,0,('Contingency Tables 12.2'!D17-'Expected 12.2'!D17)^2/'Expected 12.2'!D17)</f>
        <v>0</v>
      </c>
      <c r="E17">
        <f>IF('Expected 12.2'!E17=0,0,('Contingency Tables 12.2'!E17-'Expected 12.2'!E17)^2/'Expected 12.2'!E17)</f>
        <v>0</v>
      </c>
      <c r="F17">
        <f>IF('Expected 12.2'!F17=0,0,('Contingency Tables 12.2'!F17-'Expected 12.2'!F17)^2/'Expected 12.2'!F17)</f>
        <v>0</v>
      </c>
      <c r="G17">
        <f>IF('Expected 12.2'!G17=0,0,('Contingency Tables 12.2'!G17-'Expected 12.2'!G17)^2/'Expected 12.2'!G17)</f>
        <v>0</v>
      </c>
      <c r="H17">
        <f>IF('Expected 12.2'!H17=0,0,('Contingency Tables 12.2'!H17-'Expected 12.2'!H17)^2/'Expected 12.2'!H17)</f>
        <v>0</v>
      </c>
      <c r="I17">
        <f>IF('Expected 12.2'!I17=0,0,('Contingency Tables 12.2'!I17-'Expected 12.2'!I17)^2/'Expected 12.2'!I17)</f>
        <v>0</v>
      </c>
      <c r="J17">
        <f>IF('Expected 12.2'!J17=0,0,('Contingency Tables 12.2'!J17-'Expected 12.2'!J17)^2/'Expected 12.2'!J17)</f>
        <v>0</v>
      </c>
      <c r="K17">
        <f>IF('Expected 12.2'!K17=0,0,('Contingency Tables 12.2'!K17-'Expected 12.2'!K17)^2/'Expected 12.2'!K17)</f>
        <v>0</v>
      </c>
      <c r="L17">
        <f>IF('Expected 12.2'!L17=0,0,('Contingency Tables 12.2'!L17-'Expected 12.2'!L17)^2/'Expected 12.2'!L17)</f>
        <v>0</v>
      </c>
      <c r="M17">
        <f>IF('Expected 12.2'!M17=0,0,('Contingency Tables 12.2'!M17-'Expected 12.2'!M17)^2/'Expected 12.2'!M17)</f>
        <v>0</v>
      </c>
      <c r="N17">
        <f>IF('Expected 12.2'!N17=0,0,('Contingency Tables 12.2'!N17-'Expected 12.2'!N17)^2/'Expected 12.2'!N17)</f>
        <v>0</v>
      </c>
      <c r="O17">
        <f>IF('Expected 12.2'!O17=0,0,('Contingency Tables 12.2'!O17-'Expected 12.2'!O17)^2/'Expected 12.2'!O17)</f>
        <v>0</v>
      </c>
      <c r="P17">
        <f>IF('Expected 12.2'!P17=0,0,('Contingency Tables 12.2'!P17-'Expected 12.2'!P17)^2/'Expected 12.2'!P17)</f>
        <v>0</v>
      </c>
      <c r="Q17">
        <f>IF('Expected 12.2'!Q17=0,0,('Contingency Tables 12.2'!Q17-'Expected 12.2'!Q17)^2/'Expected 12.2'!Q17)</f>
        <v>0</v>
      </c>
      <c r="R17">
        <f>IF('Expected 12.2'!R17=0,0,('Contingency Tables 12.2'!R17-'Expected 12.2'!R17)^2/'Expected 12.2'!R17)</f>
        <v>0</v>
      </c>
      <c r="S17">
        <f>IF('Expected 12.2'!S17=0,0,('Contingency Tables 12.2'!S17-'Expected 12.2'!S17)^2/'Expected 12.2'!S17)</f>
        <v>0</v>
      </c>
      <c r="T17">
        <f>IF('Expected 12.2'!T17=0,0,('Contingency Tables 12.2'!T17-'Expected 12.2'!T17)^2/'Expected 12.2'!T17)</f>
        <v>0</v>
      </c>
      <c r="U17">
        <f>IF('Expected 12.2'!U17=0,0,('Contingency Tables 12.2'!U17-'Expected 12.2'!U17)^2/'Expected 12.2'!U17)</f>
        <v>0</v>
      </c>
      <c r="V17" s="11">
        <f>'Contingency Tables 12.2'!V17</f>
        <v>0</v>
      </c>
    </row>
    <row r="18" spans="1:22" x14ac:dyDescent="0.25">
      <c r="A18" s="11">
        <v>10</v>
      </c>
      <c r="B18">
        <f>IF('Expected 12.2'!B18=0,0,('Contingency Tables 12.2'!B18-'Expected 12.2'!B18)^2/'Expected 12.2'!B18)</f>
        <v>0</v>
      </c>
      <c r="C18">
        <f>IF('Expected 12.2'!C18=0,0,('Contingency Tables 12.2'!C18-'Expected 12.2'!C18)^2/'Expected 12.2'!C18)</f>
        <v>0</v>
      </c>
      <c r="D18">
        <f>IF('Expected 12.2'!D18=0,0,('Contingency Tables 12.2'!D18-'Expected 12.2'!D18)^2/'Expected 12.2'!D18)</f>
        <v>0</v>
      </c>
      <c r="E18">
        <f>IF('Expected 12.2'!E18=0,0,('Contingency Tables 12.2'!E18-'Expected 12.2'!E18)^2/'Expected 12.2'!E18)</f>
        <v>0</v>
      </c>
      <c r="F18">
        <f>IF('Expected 12.2'!F18=0,0,('Contingency Tables 12.2'!F18-'Expected 12.2'!F18)^2/'Expected 12.2'!F18)</f>
        <v>0</v>
      </c>
      <c r="G18">
        <f>IF('Expected 12.2'!G18=0,0,('Contingency Tables 12.2'!G18-'Expected 12.2'!G18)^2/'Expected 12.2'!G18)</f>
        <v>0</v>
      </c>
      <c r="H18">
        <f>IF('Expected 12.2'!H18=0,0,('Contingency Tables 12.2'!H18-'Expected 12.2'!H18)^2/'Expected 12.2'!H18)</f>
        <v>0</v>
      </c>
      <c r="I18">
        <f>IF('Expected 12.2'!I18=0,0,('Contingency Tables 12.2'!I18-'Expected 12.2'!I18)^2/'Expected 12.2'!I18)</f>
        <v>0</v>
      </c>
      <c r="J18">
        <f>IF('Expected 12.2'!J18=0,0,('Contingency Tables 12.2'!J18-'Expected 12.2'!J18)^2/'Expected 12.2'!J18)</f>
        <v>0</v>
      </c>
      <c r="K18">
        <f>IF('Expected 12.2'!K18=0,0,('Contingency Tables 12.2'!K18-'Expected 12.2'!K18)^2/'Expected 12.2'!K18)</f>
        <v>0</v>
      </c>
      <c r="L18">
        <f>IF('Expected 12.2'!L18=0,0,('Contingency Tables 12.2'!L18-'Expected 12.2'!L18)^2/'Expected 12.2'!L18)</f>
        <v>0</v>
      </c>
      <c r="M18">
        <f>IF('Expected 12.2'!M18=0,0,('Contingency Tables 12.2'!M18-'Expected 12.2'!M18)^2/'Expected 12.2'!M18)</f>
        <v>0</v>
      </c>
      <c r="N18">
        <f>IF('Expected 12.2'!N18=0,0,('Contingency Tables 12.2'!N18-'Expected 12.2'!N18)^2/'Expected 12.2'!N18)</f>
        <v>0</v>
      </c>
      <c r="O18">
        <f>IF('Expected 12.2'!O18=0,0,('Contingency Tables 12.2'!O18-'Expected 12.2'!O18)^2/'Expected 12.2'!O18)</f>
        <v>0</v>
      </c>
      <c r="P18">
        <f>IF('Expected 12.2'!P18=0,0,('Contingency Tables 12.2'!P18-'Expected 12.2'!P18)^2/'Expected 12.2'!P18)</f>
        <v>0</v>
      </c>
      <c r="Q18">
        <f>IF('Expected 12.2'!Q18=0,0,('Contingency Tables 12.2'!Q18-'Expected 12.2'!Q18)^2/'Expected 12.2'!Q18)</f>
        <v>0</v>
      </c>
      <c r="R18">
        <f>IF('Expected 12.2'!R18=0,0,('Contingency Tables 12.2'!R18-'Expected 12.2'!R18)^2/'Expected 12.2'!R18)</f>
        <v>0</v>
      </c>
      <c r="S18">
        <f>IF('Expected 12.2'!S18=0,0,('Contingency Tables 12.2'!S18-'Expected 12.2'!S18)^2/'Expected 12.2'!S18)</f>
        <v>0</v>
      </c>
      <c r="T18">
        <f>IF('Expected 12.2'!T18=0,0,('Contingency Tables 12.2'!T18-'Expected 12.2'!T18)^2/'Expected 12.2'!T18)</f>
        <v>0</v>
      </c>
      <c r="U18">
        <f>IF('Expected 12.2'!U18=0,0,('Contingency Tables 12.2'!U18-'Expected 12.2'!U18)^2/'Expected 12.2'!U18)</f>
        <v>0</v>
      </c>
      <c r="V18" s="11">
        <f>'Contingency Tables 12.2'!V18</f>
        <v>0</v>
      </c>
    </row>
    <row r="19" spans="1:22" x14ac:dyDescent="0.25">
      <c r="A19" s="11">
        <v>11</v>
      </c>
      <c r="B19">
        <f>IF('Expected 12.2'!B19=0,0,('Contingency Tables 12.2'!B19-'Expected 12.2'!B19)^2/'Expected 12.2'!B19)</f>
        <v>0</v>
      </c>
      <c r="C19">
        <f>IF('Expected 12.2'!C19=0,0,('Contingency Tables 12.2'!C19-'Expected 12.2'!C19)^2/'Expected 12.2'!C19)</f>
        <v>0</v>
      </c>
      <c r="D19">
        <f>IF('Expected 12.2'!D19=0,0,('Contingency Tables 12.2'!D19-'Expected 12.2'!D19)^2/'Expected 12.2'!D19)</f>
        <v>0</v>
      </c>
      <c r="E19">
        <f>IF('Expected 12.2'!E19=0,0,('Contingency Tables 12.2'!E19-'Expected 12.2'!E19)^2/'Expected 12.2'!E19)</f>
        <v>0</v>
      </c>
      <c r="F19">
        <f>IF('Expected 12.2'!F19=0,0,('Contingency Tables 12.2'!F19-'Expected 12.2'!F19)^2/'Expected 12.2'!F19)</f>
        <v>0</v>
      </c>
      <c r="G19">
        <f>IF('Expected 12.2'!G19=0,0,('Contingency Tables 12.2'!G19-'Expected 12.2'!G19)^2/'Expected 12.2'!G19)</f>
        <v>0</v>
      </c>
      <c r="H19">
        <f>IF('Expected 12.2'!H19=0,0,('Contingency Tables 12.2'!H19-'Expected 12.2'!H19)^2/'Expected 12.2'!H19)</f>
        <v>0</v>
      </c>
      <c r="I19">
        <f>IF('Expected 12.2'!I19=0,0,('Contingency Tables 12.2'!I19-'Expected 12.2'!I19)^2/'Expected 12.2'!I19)</f>
        <v>0</v>
      </c>
      <c r="J19">
        <f>IF('Expected 12.2'!J19=0,0,('Contingency Tables 12.2'!J19-'Expected 12.2'!J19)^2/'Expected 12.2'!J19)</f>
        <v>0</v>
      </c>
      <c r="K19">
        <f>IF('Expected 12.2'!K19=0,0,('Contingency Tables 12.2'!K19-'Expected 12.2'!K19)^2/'Expected 12.2'!K19)</f>
        <v>0</v>
      </c>
      <c r="L19">
        <f>IF('Expected 12.2'!L19=0,0,('Contingency Tables 12.2'!L19-'Expected 12.2'!L19)^2/'Expected 12.2'!L19)</f>
        <v>0</v>
      </c>
      <c r="M19">
        <f>IF('Expected 12.2'!M19=0,0,('Contingency Tables 12.2'!M19-'Expected 12.2'!M19)^2/'Expected 12.2'!M19)</f>
        <v>0</v>
      </c>
      <c r="N19">
        <f>IF('Expected 12.2'!N19=0,0,('Contingency Tables 12.2'!N19-'Expected 12.2'!N19)^2/'Expected 12.2'!N19)</f>
        <v>0</v>
      </c>
      <c r="O19">
        <f>IF('Expected 12.2'!O19=0,0,('Contingency Tables 12.2'!O19-'Expected 12.2'!O19)^2/'Expected 12.2'!O19)</f>
        <v>0</v>
      </c>
      <c r="P19">
        <f>IF('Expected 12.2'!P19=0,0,('Contingency Tables 12.2'!P19-'Expected 12.2'!P19)^2/'Expected 12.2'!P19)</f>
        <v>0</v>
      </c>
      <c r="Q19">
        <f>IF('Expected 12.2'!Q19=0,0,('Contingency Tables 12.2'!Q19-'Expected 12.2'!Q19)^2/'Expected 12.2'!Q19)</f>
        <v>0</v>
      </c>
      <c r="R19">
        <f>IF('Expected 12.2'!R19=0,0,('Contingency Tables 12.2'!R19-'Expected 12.2'!R19)^2/'Expected 12.2'!R19)</f>
        <v>0</v>
      </c>
      <c r="S19">
        <f>IF('Expected 12.2'!S19=0,0,('Contingency Tables 12.2'!S19-'Expected 12.2'!S19)^2/'Expected 12.2'!S19)</f>
        <v>0</v>
      </c>
      <c r="T19">
        <f>IF('Expected 12.2'!T19=0,0,('Contingency Tables 12.2'!T19-'Expected 12.2'!T19)^2/'Expected 12.2'!T19)</f>
        <v>0</v>
      </c>
      <c r="U19">
        <f>IF('Expected 12.2'!U19=0,0,('Contingency Tables 12.2'!U19-'Expected 12.2'!U19)^2/'Expected 12.2'!U19)</f>
        <v>0</v>
      </c>
      <c r="V19" s="11">
        <f>'Contingency Tables 12.2'!V19</f>
        <v>0</v>
      </c>
    </row>
    <row r="20" spans="1:22" x14ac:dyDescent="0.25">
      <c r="A20" s="11">
        <v>12</v>
      </c>
      <c r="B20">
        <f>IF('Expected 12.2'!B20=0,0,('Contingency Tables 12.2'!B20-'Expected 12.2'!B20)^2/'Expected 12.2'!B20)</f>
        <v>0</v>
      </c>
      <c r="C20">
        <f>IF('Expected 12.2'!C20=0,0,('Contingency Tables 12.2'!C20-'Expected 12.2'!C20)^2/'Expected 12.2'!C20)</f>
        <v>0</v>
      </c>
      <c r="D20">
        <f>IF('Expected 12.2'!D20=0,0,('Contingency Tables 12.2'!D20-'Expected 12.2'!D20)^2/'Expected 12.2'!D20)</f>
        <v>0</v>
      </c>
      <c r="E20">
        <f>IF('Expected 12.2'!E20=0,0,('Contingency Tables 12.2'!E20-'Expected 12.2'!E20)^2/'Expected 12.2'!E20)</f>
        <v>0</v>
      </c>
      <c r="F20">
        <f>IF('Expected 12.2'!F20=0,0,('Contingency Tables 12.2'!F20-'Expected 12.2'!F20)^2/'Expected 12.2'!F20)</f>
        <v>0</v>
      </c>
      <c r="G20">
        <f>IF('Expected 12.2'!G20=0,0,('Contingency Tables 12.2'!G20-'Expected 12.2'!G20)^2/'Expected 12.2'!G20)</f>
        <v>0</v>
      </c>
      <c r="H20">
        <f>IF('Expected 12.2'!H20=0,0,('Contingency Tables 12.2'!H20-'Expected 12.2'!H20)^2/'Expected 12.2'!H20)</f>
        <v>0</v>
      </c>
      <c r="I20">
        <f>IF('Expected 12.2'!I20=0,0,('Contingency Tables 12.2'!I20-'Expected 12.2'!I20)^2/'Expected 12.2'!I20)</f>
        <v>0</v>
      </c>
      <c r="J20">
        <f>IF('Expected 12.2'!J20=0,0,('Contingency Tables 12.2'!J20-'Expected 12.2'!J20)^2/'Expected 12.2'!J20)</f>
        <v>0</v>
      </c>
      <c r="K20">
        <f>IF('Expected 12.2'!K20=0,0,('Contingency Tables 12.2'!K20-'Expected 12.2'!K20)^2/'Expected 12.2'!K20)</f>
        <v>0</v>
      </c>
      <c r="L20">
        <f>IF('Expected 12.2'!L20=0,0,('Contingency Tables 12.2'!L20-'Expected 12.2'!L20)^2/'Expected 12.2'!L20)</f>
        <v>0</v>
      </c>
      <c r="M20">
        <f>IF('Expected 12.2'!M20=0,0,('Contingency Tables 12.2'!M20-'Expected 12.2'!M20)^2/'Expected 12.2'!M20)</f>
        <v>0</v>
      </c>
      <c r="N20">
        <f>IF('Expected 12.2'!N20=0,0,('Contingency Tables 12.2'!N20-'Expected 12.2'!N20)^2/'Expected 12.2'!N20)</f>
        <v>0</v>
      </c>
      <c r="O20">
        <f>IF('Expected 12.2'!O20=0,0,('Contingency Tables 12.2'!O20-'Expected 12.2'!O20)^2/'Expected 12.2'!O20)</f>
        <v>0</v>
      </c>
      <c r="P20">
        <f>IF('Expected 12.2'!P20=0,0,('Contingency Tables 12.2'!P20-'Expected 12.2'!P20)^2/'Expected 12.2'!P20)</f>
        <v>0</v>
      </c>
      <c r="Q20">
        <f>IF('Expected 12.2'!Q20=0,0,('Contingency Tables 12.2'!Q20-'Expected 12.2'!Q20)^2/'Expected 12.2'!Q20)</f>
        <v>0</v>
      </c>
      <c r="R20">
        <f>IF('Expected 12.2'!R20=0,0,('Contingency Tables 12.2'!R20-'Expected 12.2'!R20)^2/'Expected 12.2'!R20)</f>
        <v>0</v>
      </c>
      <c r="S20">
        <f>IF('Expected 12.2'!S20=0,0,('Contingency Tables 12.2'!S20-'Expected 12.2'!S20)^2/'Expected 12.2'!S20)</f>
        <v>0</v>
      </c>
      <c r="T20">
        <f>IF('Expected 12.2'!T20=0,0,('Contingency Tables 12.2'!T20-'Expected 12.2'!T20)^2/'Expected 12.2'!T20)</f>
        <v>0</v>
      </c>
      <c r="U20">
        <f>IF('Expected 12.2'!U20=0,0,('Contingency Tables 12.2'!U20-'Expected 12.2'!U20)^2/'Expected 12.2'!U20)</f>
        <v>0</v>
      </c>
      <c r="V20" s="11">
        <f>'Contingency Tables 12.2'!V20</f>
        <v>0</v>
      </c>
    </row>
    <row r="21" spans="1:22" x14ac:dyDescent="0.25">
      <c r="A21" s="11">
        <v>13</v>
      </c>
      <c r="B21">
        <f>IF('Expected 12.2'!B21=0,0,('Contingency Tables 12.2'!B21-'Expected 12.2'!B21)^2/'Expected 12.2'!B21)</f>
        <v>0</v>
      </c>
      <c r="C21">
        <f>IF('Expected 12.2'!C21=0,0,('Contingency Tables 12.2'!C21-'Expected 12.2'!C21)^2/'Expected 12.2'!C21)</f>
        <v>0</v>
      </c>
      <c r="D21">
        <f>IF('Expected 12.2'!D21=0,0,('Contingency Tables 12.2'!D21-'Expected 12.2'!D21)^2/'Expected 12.2'!D21)</f>
        <v>0</v>
      </c>
      <c r="E21">
        <f>IF('Expected 12.2'!E21=0,0,('Contingency Tables 12.2'!E21-'Expected 12.2'!E21)^2/'Expected 12.2'!E21)</f>
        <v>0</v>
      </c>
      <c r="F21">
        <f>IF('Expected 12.2'!F21=0,0,('Contingency Tables 12.2'!F21-'Expected 12.2'!F21)^2/'Expected 12.2'!F21)</f>
        <v>0</v>
      </c>
      <c r="G21">
        <f>IF('Expected 12.2'!G21=0,0,('Contingency Tables 12.2'!G21-'Expected 12.2'!G21)^2/'Expected 12.2'!G21)</f>
        <v>0</v>
      </c>
      <c r="H21">
        <f>IF('Expected 12.2'!H21=0,0,('Contingency Tables 12.2'!H21-'Expected 12.2'!H21)^2/'Expected 12.2'!H21)</f>
        <v>0</v>
      </c>
      <c r="I21">
        <f>IF('Expected 12.2'!I21=0,0,('Contingency Tables 12.2'!I21-'Expected 12.2'!I21)^2/'Expected 12.2'!I21)</f>
        <v>0</v>
      </c>
      <c r="J21">
        <f>IF('Expected 12.2'!J21=0,0,('Contingency Tables 12.2'!J21-'Expected 12.2'!J21)^2/'Expected 12.2'!J21)</f>
        <v>0</v>
      </c>
      <c r="K21">
        <f>IF('Expected 12.2'!K21=0,0,('Contingency Tables 12.2'!K21-'Expected 12.2'!K21)^2/'Expected 12.2'!K21)</f>
        <v>0</v>
      </c>
      <c r="L21">
        <f>IF('Expected 12.2'!L21=0,0,('Contingency Tables 12.2'!L21-'Expected 12.2'!L21)^2/'Expected 12.2'!L21)</f>
        <v>0</v>
      </c>
      <c r="M21">
        <f>IF('Expected 12.2'!M21=0,0,('Contingency Tables 12.2'!M21-'Expected 12.2'!M21)^2/'Expected 12.2'!M21)</f>
        <v>0</v>
      </c>
      <c r="N21">
        <f>IF('Expected 12.2'!N21=0,0,('Contingency Tables 12.2'!N21-'Expected 12.2'!N21)^2/'Expected 12.2'!N21)</f>
        <v>0</v>
      </c>
      <c r="O21">
        <f>IF('Expected 12.2'!O21=0,0,('Contingency Tables 12.2'!O21-'Expected 12.2'!O21)^2/'Expected 12.2'!O21)</f>
        <v>0</v>
      </c>
      <c r="P21">
        <f>IF('Expected 12.2'!P21=0,0,('Contingency Tables 12.2'!P21-'Expected 12.2'!P21)^2/'Expected 12.2'!P21)</f>
        <v>0</v>
      </c>
      <c r="Q21">
        <f>IF('Expected 12.2'!Q21=0,0,('Contingency Tables 12.2'!Q21-'Expected 12.2'!Q21)^2/'Expected 12.2'!Q21)</f>
        <v>0</v>
      </c>
      <c r="R21">
        <f>IF('Expected 12.2'!R21=0,0,('Contingency Tables 12.2'!R21-'Expected 12.2'!R21)^2/'Expected 12.2'!R21)</f>
        <v>0</v>
      </c>
      <c r="S21">
        <f>IF('Expected 12.2'!S21=0,0,('Contingency Tables 12.2'!S21-'Expected 12.2'!S21)^2/'Expected 12.2'!S21)</f>
        <v>0</v>
      </c>
      <c r="T21">
        <f>IF('Expected 12.2'!T21=0,0,('Contingency Tables 12.2'!T21-'Expected 12.2'!T21)^2/'Expected 12.2'!T21)</f>
        <v>0</v>
      </c>
      <c r="U21">
        <f>IF('Expected 12.2'!U21=0,0,('Contingency Tables 12.2'!U21-'Expected 12.2'!U21)^2/'Expected 12.2'!U21)</f>
        <v>0</v>
      </c>
      <c r="V21" s="11">
        <f>'Contingency Tables 12.2'!V21</f>
        <v>0</v>
      </c>
    </row>
    <row r="22" spans="1:22" x14ac:dyDescent="0.25">
      <c r="A22" s="11">
        <v>14</v>
      </c>
      <c r="B22">
        <f>IF('Expected 12.2'!B22=0,0,('Contingency Tables 12.2'!B22-'Expected 12.2'!B22)^2/'Expected 12.2'!B22)</f>
        <v>0</v>
      </c>
      <c r="C22">
        <f>IF('Expected 12.2'!C22=0,0,('Contingency Tables 12.2'!C22-'Expected 12.2'!C22)^2/'Expected 12.2'!C22)</f>
        <v>0</v>
      </c>
      <c r="D22">
        <f>IF('Expected 12.2'!D22=0,0,('Contingency Tables 12.2'!D22-'Expected 12.2'!D22)^2/'Expected 12.2'!D22)</f>
        <v>0</v>
      </c>
      <c r="E22">
        <f>IF('Expected 12.2'!E22=0,0,('Contingency Tables 12.2'!E22-'Expected 12.2'!E22)^2/'Expected 12.2'!E22)</f>
        <v>0</v>
      </c>
      <c r="F22">
        <f>IF('Expected 12.2'!F22=0,0,('Contingency Tables 12.2'!F22-'Expected 12.2'!F22)^2/'Expected 12.2'!F22)</f>
        <v>0</v>
      </c>
      <c r="G22">
        <f>IF('Expected 12.2'!G22=0,0,('Contingency Tables 12.2'!G22-'Expected 12.2'!G22)^2/'Expected 12.2'!G22)</f>
        <v>0</v>
      </c>
      <c r="H22">
        <f>IF('Expected 12.2'!H22=0,0,('Contingency Tables 12.2'!H22-'Expected 12.2'!H22)^2/'Expected 12.2'!H22)</f>
        <v>0</v>
      </c>
      <c r="I22">
        <f>IF('Expected 12.2'!I22=0,0,('Contingency Tables 12.2'!I22-'Expected 12.2'!I22)^2/'Expected 12.2'!I22)</f>
        <v>0</v>
      </c>
      <c r="J22">
        <f>IF('Expected 12.2'!J22=0,0,('Contingency Tables 12.2'!J22-'Expected 12.2'!J22)^2/'Expected 12.2'!J22)</f>
        <v>0</v>
      </c>
      <c r="K22">
        <f>IF('Expected 12.2'!K22=0,0,('Contingency Tables 12.2'!K22-'Expected 12.2'!K22)^2/'Expected 12.2'!K22)</f>
        <v>0</v>
      </c>
      <c r="L22">
        <f>IF('Expected 12.2'!L22=0,0,('Contingency Tables 12.2'!L22-'Expected 12.2'!L22)^2/'Expected 12.2'!L22)</f>
        <v>0</v>
      </c>
      <c r="M22">
        <f>IF('Expected 12.2'!M22=0,0,('Contingency Tables 12.2'!M22-'Expected 12.2'!M22)^2/'Expected 12.2'!M22)</f>
        <v>0</v>
      </c>
      <c r="N22">
        <f>IF('Expected 12.2'!N22=0,0,('Contingency Tables 12.2'!N22-'Expected 12.2'!N22)^2/'Expected 12.2'!N22)</f>
        <v>0</v>
      </c>
      <c r="O22">
        <f>IF('Expected 12.2'!O22=0,0,('Contingency Tables 12.2'!O22-'Expected 12.2'!O22)^2/'Expected 12.2'!O22)</f>
        <v>0</v>
      </c>
      <c r="P22">
        <f>IF('Expected 12.2'!P22=0,0,('Contingency Tables 12.2'!P22-'Expected 12.2'!P22)^2/'Expected 12.2'!P22)</f>
        <v>0</v>
      </c>
      <c r="Q22">
        <f>IF('Expected 12.2'!Q22=0,0,('Contingency Tables 12.2'!Q22-'Expected 12.2'!Q22)^2/'Expected 12.2'!Q22)</f>
        <v>0</v>
      </c>
      <c r="R22">
        <f>IF('Expected 12.2'!R22=0,0,('Contingency Tables 12.2'!R22-'Expected 12.2'!R22)^2/'Expected 12.2'!R22)</f>
        <v>0</v>
      </c>
      <c r="S22">
        <f>IF('Expected 12.2'!S22=0,0,('Contingency Tables 12.2'!S22-'Expected 12.2'!S22)^2/'Expected 12.2'!S22)</f>
        <v>0</v>
      </c>
      <c r="T22">
        <f>IF('Expected 12.2'!T22=0,0,('Contingency Tables 12.2'!T22-'Expected 12.2'!T22)^2/'Expected 12.2'!T22)</f>
        <v>0</v>
      </c>
      <c r="U22">
        <f>IF('Expected 12.2'!U22=0,0,('Contingency Tables 12.2'!U22-'Expected 12.2'!U22)^2/'Expected 12.2'!U22)</f>
        <v>0</v>
      </c>
      <c r="V22" s="11">
        <f>'Contingency Tables 12.2'!V22</f>
        <v>0</v>
      </c>
    </row>
    <row r="23" spans="1:22" x14ac:dyDescent="0.25">
      <c r="A23" s="11">
        <v>15</v>
      </c>
      <c r="B23">
        <f>IF('Expected 12.2'!B23=0,0,('Contingency Tables 12.2'!B23-'Expected 12.2'!B23)^2/'Expected 12.2'!B23)</f>
        <v>0</v>
      </c>
      <c r="C23">
        <f>IF('Expected 12.2'!C23=0,0,('Contingency Tables 12.2'!C23-'Expected 12.2'!C23)^2/'Expected 12.2'!C23)</f>
        <v>0</v>
      </c>
      <c r="D23">
        <f>IF('Expected 12.2'!D23=0,0,('Contingency Tables 12.2'!D23-'Expected 12.2'!D23)^2/'Expected 12.2'!D23)</f>
        <v>0</v>
      </c>
      <c r="E23">
        <f>IF('Expected 12.2'!E23=0,0,('Contingency Tables 12.2'!E23-'Expected 12.2'!E23)^2/'Expected 12.2'!E23)</f>
        <v>0</v>
      </c>
      <c r="F23">
        <f>IF('Expected 12.2'!F23=0,0,('Contingency Tables 12.2'!F23-'Expected 12.2'!F23)^2/'Expected 12.2'!F23)</f>
        <v>0</v>
      </c>
      <c r="G23">
        <f>IF('Expected 12.2'!G23=0,0,('Contingency Tables 12.2'!G23-'Expected 12.2'!G23)^2/'Expected 12.2'!G23)</f>
        <v>0</v>
      </c>
      <c r="H23">
        <f>IF('Expected 12.2'!H23=0,0,('Contingency Tables 12.2'!H23-'Expected 12.2'!H23)^2/'Expected 12.2'!H23)</f>
        <v>0</v>
      </c>
      <c r="I23">
        <f>IF('Expected 12.2'!I23=0,0,('Contingency Tables 12.2'!I23-'Expected 12.2'!I23)^2/'Expected 12.2'!I23)</f>
        <v>0</v>
      </c>
      <c r="J23">
        <f>IF('Expected 12.2'!J23=0,0,('Contingency Tables 12.2'!J23-'Expected 12.2'!J23)^2/'Expected 12.2'!J23)</f>
        <v>0</v>
      </c>
      <c r="K23">
        <f>IF('Expected 12.2'!K23=0,0,('Contingency Tables 12.2'!K23-'Expected 12.2'!K23)^2/'Expected 12.2'!K23)</f>
        <v>0</v>
      </c>
      <c r="L23">
        <f>IF('Expected 12.2'!L23=0,0,('Contingency Tables 12.2'!L23-'Expected 12.2'!L23)^2/'Expected 12.2'!L23)</f>
        <v>0</v>
      </c>
      <c r="M23">
        <f>IF('Expected 12.2'!M23=0,0,('Contingency Tables 12.2'!M23-'Expected 12.2'!M23)^2/'Expected 12.2'!M23)</f>
        <v>0</v>
      </c>
      <c r="N23">
        <f>IF('Expected 12.2'!N23=0,0,('Contingency Tables 12.2'!N23-'Expected 12.2'!N23)^2/'Expected 12.2'!N23)</f>
        <v>0</v>
      </c>
      <c r="O23">
        <f>IF('Expected 12.2'!O23=0,0,('Contingency Tables 12.2'!O23-'Expected 12.2'!O23)^2/'Expected 12.2'!O23)</f>
        <v>0</v>
      </c>
      <c r="P23">
        <f>IF('Expected 12.2'!P23=0,0,('Contingency Tables 12.2'!P23-'Expected 12.2'!P23)^2/'Expected 12.2'!P23)</f>
        <v>0</v>
      </c>
      <c r="Q23">
        <f>IF('Expected 12.2'!Q23=0,0,('Contingency Tables 12.2'!Q23-'Expected 12.2'!Q23)^2/'Expected 12.2'!Q23)</f>
        <v>0</v>
      </c>
      <c r="R23">
        <f>IF('Expected 12.2'!R23=0,0,('Contingency Tables 12.2'!R23-'Expected 12.2'!R23)^2/'Expected 12.2'!R23)</f>
        <v>0</v>
      </c>
      <c r="S23">
        <f>IF('Expected 12.2'!S23=0,0,('Contingency Tables 12.2'!S23-'Expected 12.2'!S23)^2/'Expected 12.2'!S23)</f>
        <v>0</v>
      </c>
      <c r="T23">
        <f>IF('Expected 12.2'!T23=0,0,('Contingency Tables 12.2'!T23-'Expected 12.2'!T23)^2/'Expected 12.2'!T23)</f>
        <v>0</v>
      </c>
      <c r="U23">
        <f>IF('Expected 12.2'!U23=0,0,('Contingency Tables 12.2'!U23-'Expected 12.2'!U23)^2/'Expected 12.2'!U23)</f>
        <v>0</v>
      </c>
      <c r="V23" s="11">
        <f>'Contingency Tables 12.2'!V23</f>
        <v>0</v>
      </c>
    </row>
    <row r="24" spans="1:22" x14ac:dyDescent="0.25">
      <c r="A24" s="11">
        <v>16</v>
      </c>
      <c r="B24">
        <f>IF('Expected 12.2'!B24=0,0,('Contingency Tables 12.2'!B24-'Expected 12.2'!B24)^2/'Expected 12.2'!B24)</f>
        <v>0</v>
      </c>
      <c r="C24">
        <f>IF('Expected 12.2'!C24=0,0,('Contingency Tables 12.2'!C24-'Expected 12.2'!C24)^2/'Expected 12.2'!C24)</f>
        <v>0</v>
      </c>
      <c r="D24">
        <f>IF('Expected 12.2'!D24=0,0,('Contingency Tables 12.2'!D24-'Expected 12.2'!D24)^2/'Expected 12.2'!D24)</f>
        <v>0</v>
      </c>
      <c r="E24">
        <f>IF('Expected 12.2'!E24=0,0,('Contingency Tables 12.2'!E24-'Expected 12.2'!E24)^2/'Expected 12.2'!E24)</f>
        <v>0</v>
      </c>
      <c r="F24">
        <f>IF('Expected 12.2'!F24=0,0,('Contingency Tables 12.2'!F24-'Expected 12.2'!F24)^2/'Expected 12.2'!F24)</f>
        <v>0</v>
      </c>
      <c r="G24">
        <f>IF('Expected 12.2'!G24=0,0,('Contingency Tables 12.2'!G24-'Expected 12.2'!G24)^2/'Expected 12.2'!G24)</f>
        <v>0</v>
      </c>
      <c r="H24">
        <f>IF('Expected 12.2'!H24=0,0,('Contingency Tables 12.2'!H24-'Expected 12.2'!H24)^2/'Expected 12.2'!H24)</f>
        <v>0</v>
      </c>
      <c r="I24">
        <f>IF('Expected 12.2'!I24=0,0,('Contingency Tables 12.2'!I24-'Expected 12.2'!I24)^2/'Expected 12.2'!I24)</f>
        <v>0</v>
      </c>
      <c r="J24">
        <f>IF('Expected 12.2'!J24=0,0,('Contingency Tables 12.2'!J24-'Expected 12.2'!J24)^2/'Expected 12.2'!J24)</f>
        <v>0</v>
      </c>
      <c r="K24">
        <f>IF('Expected 12.2'!K24=0,0,('Contingency Tables 12.2'!K24-'Expected 12.2'!K24)^2/'Expected 12.2'!K24)</f>
        <v>0</v>
      </c>
      <c r="L24">
        <f>IF('Expected 12.2'!L24=0,0,('Contingency Tables 12.2'!L24-'Expected 12.2'!L24)^2/'Expected 12.2'!L24)</f>
        <v>0</v>
      </c>
      <c r="M24">
        <f>IF('Expected 12.2'!M24=0,0,('Contingency Tables 12.2'!M24-'Expected 12.2'!M24)^2/'Expected 12.2'!M24)</f>
        <v>0</v>
      </c>
      <c r="N24">
        <f>IF('Expected 12.2'!N24=0,0,('Contingency Tables 12.2'!N24-'Expected 12.2'!N24)^2/'Expected 12.2'!N24)</f>
        <v>0</v>
      </c>
      <c r="O24">
        <f>IF('Expected 12.2'!O24=0,0,('Contingency Tables 12.2'!O24-'Expected 12.2'!O24)^2/'Expected 12.2'!O24)</f>
        <v>0</v>
      </c>
      <c r="P24">
        <f>IF('Expected 12.2'!P24=0,0,('Contingency Tables 12.2'!P24-'Expected 12.2'!P24)^2/'Expected 12.2'!P24)</f>
        <v>0</v>
      </c>
      <c r="Q24">
        <f>IF('Expected 12.2'!Q24=0,0,('Contingency Tables 12.2'!Q24-'Expected 12.2'!Q24)^2/'Expected 12.2'!Q24)</f>
        <v>0</v>
      </c>
      <c r="R24">
        <f>IF('Expected 12.2'!R24=0,0,('Contingency Tables 12.2'!R24-'Expected 12.2'!R24)^2/'Expected 12.2'!R24)</f>
        <v>0</v>
      </c>
      <c r="S24">
        <f>IF('Expected 12.2'!S24=0,0,('Contingency Tables 12.2'!S24-'Expected 12.2'!S24)^2/'Expected 12.2'!S24)</f>
        <v>0</v>
      </c>
      <c r="T24">
        <f>IF('Expected 12.2'!T24=0,0,('Contingency Tables 12.2'!T24-'Expected 12.2'!T24)^2/'Expected 12.2'!T24)</f>
        <v>0</v>
      </c>
      <c r="U24">
        <f>IF('Expected 12.2'!U24=0,0,('Contingency Tables 12.2'!U24-'Expected 12.2'!U24)^2/'Expected 12.2'!U24)</f>
        <v>0</v>
      </c>
      <c r="V24" s="11">
        <f>'Contingency Tables 12.2'!V24</f>
        <v>0</v>
      </c>
    </row>
    <row r="25" spans="1:22" x14ac:dyDescent="0.25">
      <c r="A25" s="11">
        <v>17</v>
      </c>
      <c r="B25">
        <f>IF('Expected 12.2'!B25=0,0,('Contingency Tables 12.2'!B25-'Expected 12.2'!B25)^2/'Expected 12.2'!B25)</f>
        <v>0</v>
      </c>
      <c r="C25">
        <f>IF('Expected 12.2'!C25=0,0,('Contingency Tables 12.2'!C25-'Expected 12.2'!C25)^2/'Expected 12.2'!C25)</f>
        <v>0</v>
      </c>
      <c r="D25">
        <f>IF('Expected 12.2'!D25=0,0,('Contingency Tables 12.2'!D25-'Expected 12.2'!D25)^2/'Expected 12.2'!D25)</f>
        <v>0</v>
      </c>
      <c r="E25">
        <f>IF('Expected 12.2'!E25=0,0,('Contingency Tables 12.2'!E25-'Expected 12.2'!E25)^2/'Expected 12.2'!E25)</f>
        <v>0</v>
      </c>
      <c r="F25">
        <f>IF('Expected 12.2'!F25=0,0,('Contingency Tables 12.2'!F25-'Expected 12.2'!F25)^2/'Expected 12.2'!F25)</f>
        <v>0</v>
      </c>
      <c r="G25">
        <f>IF('Expected 12.2'!G25=0,0,('Contingency Tables 12.2'!G25-'Expected 12.2'!G25)^2/'Expected 12.2'!G25)</f>
        <v>0</v>
      </c>
      <c r="H25">
        <f>IF('Expected 12.2'!H25=0,0,('Contingency Tables 12.2'!H25-'Expected 12.2'!H25)^2/'Expected 12.2'!H25)</f>
        <v>0</v>
      </c>
      <c r="I25">
        <f>IF('Expected 12.2'!I25=0,0,('Contingency Tables 12.2'!I25-'Expected 12.2'!I25)^2/'Expected 12.2'!I25)</f>
        <v>0</v>
      </c>
      <c r="J25">
        <f>IF('Expected 12.2'!J25=0,0,('Contingency Tables 12.2'!J25-'Expected 12.2'!J25)^2/'Expected 12.2'!J25)</f>
        <v>0</v>
      </c>
      <c r="K25">
        <f>IF('Expected 12.2'!K25=0,0,('Contingency Tables 12.2'!K25-'Expected 12.2'!K25)^2/'Expected 12.2'!K25)</f>
        <v>0</v>
      </c>
      <c r="L25">
        <f>IF('Expected 12.2'!L25=0,0,('Contingency Tables 12.2'!L25-'Expected 12.2'!L25)^2/'Expected 12.2'!L25)</f>
        <v>0</v>
      </c>
      <c r="M25">
        <f>IF('Expected 12.2'!M25=0,0,('Contingency Tables 12.2'!M25-'Expected 12.2'!M25)^2/'Expected 12.2'!M25)</f>
        <v>0</v>
      </c>
      <c r="N25">
        <f>IF('Expected 12.2'!N25=0,0,('Contingency Tables 12.2'!N25-'Expected 12.2'!N25)^2/'Expected 12.2'!N25)</f>
        <v>0</v>
      </c>
      <c r="O25">
        <f>IF('Expected 12.2'!O25=0,0,('Contingency Tables 12.2'!O25-'Expected 12.2'!O25)^2/'Expected 12.2'!O25)</f>
        <v>0</v>
      </c>
      <c r="P25">
        <f>IF('Expected 12.2'!P25=0,0,('Contingency Tables 12.2'!P25-'Expected 12.2'!P25)^2/'Expected 12.2'!P25)</f>
        <v>0</v>
      </c>
      <c r="Q25">
        <f>IF('Expected 12.2'!Q25=0,0,('Contingency Tables 12.2'!Q25-'Expected 12.2'!Q25)^2/'Expected 12.2'!Q25)</f>
        <v>0</v>
      </c>
      <c r="R25">
        <f>IF('Expected 12.2'!R25=0,0,('Contingency Tables 12.2'!R25-'Expected 12.2'!R25)^2/'Expected 12.2'!R25)</f>
        <v>0</v>
      </c>
      <c r="S25">
        <f>IF('Expected 12.2'!S25=0,0,('Contingency Tables 12.2'!S25-'Expected 12.2'!S25)^2/'Expected 12.2'!S25)</f>
        <v>0</v>
      </c>
      <c r="T25">
        <f>IF('Expected 12.2'!T25=0,0,('Contingency Tables 12.2'!T25-'Expected 12.2'!T25)^2/'Expected 12.2'!T25)</f>
        <v>0</v>
      </c>
      <c r="U25">
        <f>IF('Expected 12.2'!U25=0,0,('Contingency Tables 12.2'!U25-'Expected 12.2'!U25)^2/'Expected 12.2'!U25)</f>
        <v>0</v>
      </c>
      <c r="V25" s="11">
        <f>'Contingency Tables 12.2'!V25</f>
        <v>0</v>
      </c>
    </row>
    <row r="26" spans="1:22" x14ac:dyDescent="0.25">
      <c r="A26" s="11">
        <v>18</v>
      </c>
      <c r="B26">
        <f>IF('Expected 12.2'!B26=0,0,('Contingency Tables 12.2'!B26-'Expected 12.2'!B26)^2/'Expected 12.2'!B26)</f>
        <v>0</v>
      </c>
      <c r="C26">
        <f>IF('Expected 12.2'!C26=0,0,('Contingency Tables 12.2'!C26-'Expected 12.2'!C26)^2/'Expected 12.2'!C26)</f>
        <v>0</v>
      </c>
      <c r="D26">
        <f>IF('Expected 12.2'!D26=0,0,('Contingency Tables 12.2'!D26-'Expected 12.2'!D26)^2/'Expected 12.2'!D26)</f>
        <v>0</v>
      </c>
      <c r="E26">
        <f>IF('Expected 12.2'!E26=0,0,('Contingency Tables 12.2'!E26-'Expected 12.2'!E26)^2/'Expected 12.2'!E26)</f>
        <v>0</v>
      </c>
      <c r="F26">
        <f>IF('Expected 12.2'!F26=0,0,('Contingency Tables 12.2'!F26-'Expected 12.2'!F26)^2/'Expected 12.2'!F26)</f>
        <v>0</v>
      </c>
      <c r="G26">
        <f>IF('Expected 12.2'!G26=0,0,('Contingency Tables 12.2'!G26-'Expected 12.2'!G26)^2/'Expected 12.2'!G26)</f>
        <v>0</v>
      </c>
      <c r="H26">
        <f>IF('Expected 12.2'!H26=0,0,('Contingency Tables 12.2'!H26-'Expected 12.2'!H26)^2/'Expected 12.2'!H26)</f>
        <v>0</v>
      </c>
      <c r="I26">
        <f>IF('Expected 12.2'!I26=0,0,('Contingency Tables 12.2'!I26-'Expected 12.2'!I26)^2/'Expected 12.2'!I26)</f>
        <v>0</v>
      </c>
      <c r="J26">
        <f>IF('Expected 12.2'!J26=0,0,('Contingency Tables 12.2'!J26-'Expected 12.2'!J26)^2/'Expected 12.2'!J26)</f>
        <v>0</v>
      </c>
      <c r="K26">
        <f>IF('Expected 12.2'!K26=0,0,('Contingency Tables 12.2'!K26-'Expected 12.2'!K26)^2/'Expected 12.2'!K26)</f>
        <v>0</v>
      </c>
      <c r="L26">
        <f>IF('Expected 12.2'!L26=0,0,('Contingency Tables 12.2'!L26-'Expected 12.2'!L26)^2/'Expected 12.2'!L26)</f>
        <v>0</v>
      </c>
      <c r="M26">
        <f>IF('Expected 12.2'!M26=0,0,('Contingency Tables 12.2'!M26-'Expected 12.2'!M26)^2/'Expected 12.2'!M26)</f>
        <v>0</v>
      </c>
      <c r="N26">
        <f>IF('Expected 12.2'!N26=0,0,('Contingency Tables 12.2'!N26-'Expected 12.2'!N26)^2/'Expected 12.2'!N26)</f>
        <v>0</v>
      </c>
      <c r="O26">
        <f>IF('Expected 12.2'!O26=0,0,('Contingency Tables 12.2'!O26-'Expected 12.2'!O26)^2/'Expected 12.2'!O26)</f>
        <v>0</v>
      </c>
      <c r="P26">
        <f>IF('Expected 12.2'!P26=0,0,('Contingency Tables 12.2'!P26-'Expected 12.2'!P26)^2/'Expected 12.2'!P26)</f>
        <v>0</v>
      </c>
      <c r="Q26">
        <f>IF('Expected 12.2'!Q26=0,0,('Contingency Tables 12.2'!Q26-'Expected 12.2'!Q26)^2/'Expected 12.2'!Q26)</f>
        <v>0</v>
      </c>
      <c r="R26">
        <f>IF('Expected 12.2'!R26=0,0,('Contingency Tables 12.2'!R26-'Expected 12.2'!R26)^2/'Expected 12.2'!R26)</f>
        <v>0</v>
      </c>
      <c r="S26">
        <f>IF('Expected 12.2'!S26=0,0,('Contingency Tables 12.2'!S26-'Expected 12.2'!S26)^2/'Expected 12.2'!S26)</f>
        <v>0</v>
      </c>
      <c r="T26">
        <f>IF('Expected 12.2'!T26=0,0,('Contingency Tables 12.2'!T26-'Expected 12.2'!T26)^2/'Expected 12.2'!T26)</f>
        <v>0</v>
      </c>
      <c r="U26">
        <f>IF('Expected 12.2'!U26=0,0,('Contingency Tables 12.2'!U26-'Expected 12.2'!U26)^2/'Expected 12.2'!U26)</f>
        <v>0</v>
      </c>
      <c r="V26" s="11">
        <f>'Contingency Tables 12.2'!V26</f>
        <v>0</v>
      </c>
    </row>
    <row r="27" spans="1:22" x14ac:dyDescent="0.25">
      <c r="A27" s="11">
        <v>19</v>
      </c>
      <c r="B27">
        <f>IF('Expected 12.2'!B27=0,0,('Contingency Tables 12.2'!B27-'Expected 12.2'!B27)^2/'Expected 12.2'!B27)</f>
        <v>0</v>
      </c>
      <c r="C27">
        <f>IF('Expected 12.2'!C27=0,0,('Contingency Tables 12.2'!C27-'Expected 12.2'!C27)^2/'Expected 12.2'!C27)</f>
        <v>0</v>
      </c>
      <c r="D27">
        <f>IF('Expected 12.2'!D27=0,0,('Contingency Tables 12.2'!D27-'Expected 12.2'!D27)^2/'Expected 12.2'!D27)</f>
        <v>0</v>
      </c>
      <c r="E27">
        <f>IF('Expected 12.2'!E27=0,0,('Contingency Tables 12.2'!E27-'Expected 12.2'!E27)^2/'Expected 12.2'!E27)</f>
        <v>0</v>
      </c>
      <c r="F27">
        <f>IF('Expected 12.2'!F27=0,0,('Contingency Tables 12.2'!F27-'Expected 12.2'!F27)^2/'Expected 12.2'!F27)</f>
        <v>0</v>
      </c>
      <c r="G27">
        <f>IF('Expected 12.2'!G27=0,0,('Contingency Tables 12.2'!G27-'Expected 12.2'!G27)^2/'Expected 12.2'!G27)</f>
        <v>0</v>
      </c>
      <c r="H27">
        <f>IF('Expected 12.2'!H27=0,0,('Contingency Tables 12.2'!H27-'Expected 12.2'!H27)^2/'Expected 12.2'!H27)</f>
        <v>0</v>
      </c>
      <c r="I27">
        <f>IF('Expected 12.2'!I27=0,0,('Contingency Tables 12.2'!I27-'Expected 12.2'!I27)^2/'Expected 12.2'!I27)</f>
        <v>0</v>
      </c>
      <c r="J27">
        <f>IF('Expected 12.2'!J27=0,0,('Contingency Tables 12.2'!J27-'Expected 12.2'!J27)^2/'Expected 12.2'!J27)</f>
        <v>0</v>
      </c>
      <c r="K27">
        <f>IF('Expected 12.2'!K27=0,0,('Contingency Tables 12.2'!K27-'Expected 12.2'!K27)^2/'Expected 12.2'!K27)</f>
        <v>0</v>
      </c>
      <c r="L27">
        <f>IF('Expected 12.2'!L27=0,0,('Contingency Tables 12.2'!L27-'Expected 12.2'!L27)^2/'Expected 12.2'!L27)</f>
        <v>0</v>
      </c>
      <c r="M27">
        <f>IF('Expected 12.2'!M27=0,0,('Contingency Tables 12.2'!M27-'Expected 12.2'!M27)^2/'Expected 12.2'!M27)</f>
        <v>0</v>
      </c>
      <c r="N27">
        <f>IF('Expected 12.2'!N27=0,0,('Contingency Tables 12.2'!N27-'Expected 12.2'!N27)^2/'Expected 12.2'!N27)</f>
        <v>0</v>
      </c>
      <c r="O27">
        <f>IF('Expected 12.2'!O27=0,0,('Contingency Tables 12.2'!O27-'Expected 12.2'!O27)^2/'Expected 12.2'!O27)</f>
        <v>0</v>
      </c>
      <c r="P27">
        <f>IF('Expected 12.2'!P27=0,0,('Contingency Tables 12.2'!P27-'Expected 12.2'!P27)^2/'Expected 12.2'!P27)</f>
        <v>0</v>
      </c>
      <c r="Q27">
        <f>IF('Expected 12.2'!Q27=0,0,('Contingency Tables 12.2'!Q27-'Expected 12.2'!Q27)^2/'Expected 12.2'!Q27)</f>
        <v>0</v>
      </c>
      <c r="R27">
        <f>IF('Expected 12.2'!R27=0,0,('Contingency Tables 12.2'!R27-'Expected 12.2'!R27)^2/'Expected 12.2'!R27)</f>
        <v>0</v>
      </c>
      <c r="S27">
        <f>IF('Expected 12.2'!S27=0,0,('Contingency Tables 12.2'!S27-'Expected 12.2'!S27)^2/'Expected 12.2'!S27)</f>
        <v>0</v>
      </c>
      <c r="T27">
        <f>IF('Expected 12.2'!T27=0,0,('Contingency Tables 12.2'!T27-'Expected 12.2'!T27)^2/'Expected 12.2'!T27)</f>
        <v>0</v>
      </c>
      <c r="U27">
        <f>IF('Expected 12.2'!U27=0,0,('Contingency Tables 12.2'!U27-'Expected 12.2'!U27)^2/'Expected 12.2'!U27)</f>
        <v>0</v>
      </c>
      <c r="V27" s="11">
        <f>'Contingency Tables 12.2'!V27</f>
        <v>0</v>
      </c>
    </row>
    <row r="28" spans="1:22" ht="16.5" thickBot="1" x14ac:dyDescent="0.3">
      <c r="A28" s="11">
        <v>20</v>
      </c>
      <c r="B28">
        <f>IF('Expected 12.2'!B28=0,0,('Contingency Tables 12.2'!B28-'Expected 12.2'!B28)^2/'Expected 12.2'!B28)</f>
        <v>0</v>
      </c>
      <c r="C28">
        <f>IF('Expected 12.2'!C28=0,0,('Contingency Tables 12.2'!C28-'Expected 12.2'!C28)^2/'Expected 12.2'!C28)</f>
        <v>0</v>
      </c>
      <c r="D28">
        <f>IF('Expected 12.2'!D28=0,0,('Contingency Tables 12.2'!D28-'Expected 12.2'!D28)^2/'Expected 12.2'!D28)</f>
        <v>0</v>
      </c>
      <c r="E28">
        <f>IF('Expected 12.2'!E28=0,0,('Contingency Tables 12.2'!E28-'Expected 12.2'!E28)^2/'Expected 12.2'!E28)</f>
        <v>0</v>
      </c>
      <c r="F28">
        <f>IF('Expected 12.2'!F28=0,0,('Contingency Tables 12.2'!F28-'Expected 12.2'!F28)^2/'Expected 12.2'!F28)</f>
        <v>0</v>
      </c>
      <c r="G28">
        <f>IF('Expected 12.2'!G28=0,0,('Contingency Tables 12.2'!G28-'Expected 12.2'!G28)^2/'Expected 12.2'!G28)</f>
        <v>0</v>
      </c>
      <c r="H28">
        <f>IF('Expected 12.2'!H28=0,0,('Contingency Tables 12.2'!H28-'Expected 12.2'!H28)^2/'Expected 12.2'!H28)</f>
        <v>0</v>
      </c>
      <c r="I28">
        <f>IF('Expected 12.2'!I28=0,0,('Contingency Tables 12.2'!I28-'Expected 12.2'!I28)^2/'Expected 12.2'!I28)</f>
        <v>0</v>
      </c>
      <c r="J28">
        <f>IF('Expected 12.2'!J28=0,0,('Contingency Tables 12.2'!J28-'Expected 12.2'!J28)^2/'Expected 12.2'!J28)</f>
        <v>0</v>
      </c>
      <c r="K28">
        <f>IF('Expected 12.2'!K28=0,0,('Contingency Tables 12.2'!K28-'Expected 12.2'!K28)^2/'Expected 12.2'!K28)</f>
        <v>0</v>
      </c>
      <c r="L28">
        <f>IF('Expected 12.2'!L28=0,0,('Contingency Tables 12.2'!L28-'Expected 12.2'!L28)^2/'Expected 12.2'!L28)</f>
        <v>0</v>
      </c>
      <c r="M28">
        <f>IF('Expected 12.2'!M28=0,0,('Contingency Tables 12.2'!M28-'Expected 12.2'!M28)^2/'Expected 12.2'!M28)</f>
        <v>0</v>
      </c>
      <c r="N28">
        <f>IF('Expected 12.2'!N28=0,0,('Contingency Tables 12.2'!N28-'Expected 12.2'!N28)^2/'Expected 12.2'!N28)</f>
        <v>0</v>
      </c>
      <c r="O28">
        <f>IF('Expected 12.2'!O28=0,0,('Contingency Tables 12.2'!O28-'Expected 12.2'!O28)^2/'Expected 12.2'!O28)</f>
        <v>0</v>
      </c>
      <c r="P28">
        <f>IF('Expected 12.2'!P28=0,0,('Contingency Tables 12.2'!P28-'Expected 12.2'!P28)^2/'Expected 12.2'!P28)</f>
        <v>0</v>
      </c>
      <c r="Q28">
        <f>IF('Expected 12.2'!Q28=0,0,('Contingency Tables 12.2'!Q28-'Expected 12.2'!Q28)^2/'Expected 12.2'!Q28)</f>
        <v>0</v>
      </c>
      <c r="R28">
        <f>IF('Expected 12.2'!R28=0,0,('Contingency Tables 12.2'!R28-'Expected 12.2'!R28)^2/'Expected 12.2'!R28)</f>
        <v>0</v>
      </c>
      <c r="S28">
        <f>IF('Expected 12.2'!S28=0,0,('Contingency Tables 12.2'!S28-'Expected 12.2'!S28)^2/'Expected 12.2'!S28)</f>
        <v>0</v>
      </c>
      <c r="T28">
        <f>IF('Expected 12.2'!T28=0,0,('Contingency Tables 12.2'!T28-'Expected 12.2'!T28)^2/'Expected 12.2'!T28)</f>
        <v>0</v>
      </c>
      <c r="U28">
        <f>IF('Expected 12.2'!U28=0,0,('Contingency Tables 12.2'!U28-'Expected 12.2'!U28)^2/'Expected 12.2'!U28)</f>
        <v>0</v>
      </c>
      <c r="V28" s="11">
        <f>'Contingency Tables 12.2'!V28</f>
        <v>0</v>
      </c>
    </row>
    <row r="29" spans="1:22" x14ac:dyDescent="0.25">
      <c r="A29" s="91" t="s">
        <v>302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91"/>
    </row>
    <row r="30" spans="1:22" s="1" customFormat="1" ht="16.5" thickBot="1" x14ac:dyDescent="0.3">
      <c r="A30" s="13" t="s">
        <v>304</v>
      </c>
      <c r="B30" s="271">
        <f>'Contingency Tables 12.2'!B30</f>
        <v>204</v>
      </c>
      <c r="C30" s="271">
        <f>'Contingency Tables 12.2'!C30</f>
        <v>181</v>
      </c>
      <c r="D30" s="271">
        <f>'Contingency Tables 12.2'!D30</f>
        <v>199</v>
      </c>
      <c r="E30" s="271">
        <f>'Contingency Tables 12.2'!E30</f>
        <v>0</v>
      </c>
      <c r="F30" s="271">
        <f>'Contingency Tables 12.2'!F30</f>
        <v>0</v>
      </c>
      <c r="G30" s="271">
        <f>'Contingency Tables 12.2'!G30</f>
        <v>0</v>
      </c>
      <c r="H30" s="271">
        <f>'Contingency Tables 12.2'!H30</f>
        <v>0</v>
      </c>
      <c r="I30" s="271">
        <f>'Contingency Tables 12.2'!I30</f>
        <v>0</v>
      </c>
      <c r="J30" s="271">
        <f>'Contingency Tables 12.2'!J30</f>
        <v>0</v>
      </c>
      <c r="K30" s="271">
        <f>'Contingency Tables 12.2'!K30</f>
        <v>0</v>
      </c>
      <c r="L30" s="271">
        <f>'Contingency Tables 12.2'!L30</f>
        <v>0</v>
      </c>
      <c r="M30" s="271">
        <f>'Contingency Tables 12.2'!M30</f>
        <v>0</v>
      </c>
      <c r="N30" s="271">
        <f>'Contingency Tables 12.2'!N30</f>
        <v>0</v>
      </c>
      <c r="O30" s="271">
        <f>'Contingency Tables 12.2'!O30</f>
        <v>0</v>
      </c>
      <c r="P30" s="271">
        <f>'Contingency Tables 12.2'!P30</f>
        <v>0</v>
      </c>
      <c r="Q30" s="271">
        <f>'Contingency Tables 12.2'!Q30</f>
        <v>0</v>
      </c>
      <c r="R30" s="271">
        <f>'Contingency Tables 12.2'!R30</f>
        <v>0</v>
      </c>
      <c r="S30" s="271">
        <f>'Contingency Tables 12.2'!S30</f>
        <v>0</v>
      </c>
      <c r="T30" s="271">
        <f>'Contingency Tables 12.2'!T30</f>
        <v>0</v>
      </c>
      <c r="U30" s="271">
        <f>'Contingency Tables 12.2'!U30</f>
        <v>0</v>
      </c>
      <c r="V30" s="13">
        <f>'Contingency Tables 12.2'!V30</f>
        <v>584</v>
      </c>
    </row>
  </sheetData>
  <mergeCells count="2">
    <mergeCell ref="U1:W1"/>
    <mergeCell ref="B7:U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30" zoomScaleNormal="130" workbookViewId="0">
      <selection activeCell="C16" sqref="C16"/>
    </sheetView>
  </sheetViews>
  <sheetFormatPr defaultRowHeight="20.25" x14ac:dyDescent="0.3"/>
  <cols>
    <col min="1" max="1" width="8.88671875" style="71"/>
    <col min="2" max="4" width="8.88671875" style="72"/>
    <col min="5" max="5" width="13.21875" style="72" bestFit="1" customWidth="1"/>
    <col min="6" max="8" width="8.88671875" style="72"/>
    <col min="9" max="16384" width="8.88671875" style="71"/>
  </cols>
  <sheetData>
    <row r="1" spans="1:7" x14ac:dyDescent="0.3">
      <c r="A1" s="79" t="s">
        <v>133</v>
      </c>
      <c r="B1" s="78"/>
      <c r="C1" s="78"/>
      <c r="D1" s="78"/>
      <c r="E1" s="78"/>
      <c r="F1" s="78"/>
    </row>
    <row r="2" spans="1:7" x14ac:dyDescent="0.3">
      <c r="A2" s="79" t="s">
        <v>125</v>
      </c>
      <c r="B2" s="78"/>
      <c r="C2" s="78"/>
      <c r="D2" s="78"/>
      <c r="E2" s="78"/>
      <c r="F2" s="78"/>
    </row>
    <row r="3" spans="1:7" ht="21" thickBot="1" x14ac:dyDescent="0.35"/>
    <row r="4" spans="1:7" x14ac:dyDescent="0.3">
      <c r="B4" s="318" t="s">
        <v>127</v>
      </c>
      <c r="C4" s="319"/>
      <c r="D4" s="318" t="s">
        <v>127</v>
      </c>
      <c r="E4" s="319"/>
    </row>
    <row r="5" spans="1:7" ht="21" thickBot="1" x14ac:dyDescent="0.35">
      <c r="B5" s="320" t="s">
        <v>128</v>
      </c>
      <c r="C5" s="321"/>
      <c r="D5" s="320" t="s">
        <v>129</v>
      </c>
      <c r="E5" s="321"/>
    </row>
    <row r="6" spans="1:7" ht="21" thickBot="1" x14ac:dyDescent="0.35">
      <c r="B6" s="76" t="s">
        <v>42</v>
      </c>
      <c r="C6" s="76" t="s">
        <v>43</v>
      </c>
      <c r="D6" s="73" t="s">
        <v>44</v>
      </c>
      <c r="E6" s="73" t="s">
        <v>45</v>
      </c>
      <c r="F6" s="73"/>
      <c r="G6" s="73"/>
    </row>
    <row r="7" spans="1:7" x14ac:dyDescent="0.3">
      <c r="B7" s="77"/>
      <c r="C7" s="77"/>
    </row>
    <row r="8" spans="1:7" x14ac:dyDescent="0.3">
      <c r="B8" s="77">
        <v>10</v>
      </c>
      <c r="C8" s="77">
        <v>0.4</v>
      </c>
      <c r="D8" s="72">
        <f>B8*C8</f>
        <v>4</v>
      </c>
      <c r="E8" s="72">
        <f>C8*(B8-D$16)^2</f>
        <v>40</v>
      </c>
    </row>
    <row r="9" spans="1:7" x14ac:dyDescent="0.3">
      <c r="B9" s="77">
        <v>20</v>
      </c>
      <c r="C9" s="77">
        <v>0.3</v>
      </c>
      <c r="D9" s="72">
        <f t="shared" ref="D9:D11" si="0">B9*C9</f>
        <v>6</v>
      </c>
      <c r="E9" s="72">
        <f t="shared" ref="E9:E11" si="1">C9*(B9-D$16)^2</f>
        <v>0</v>
      </c>
    </row>
    <row r="10" spans="1:7" x14ac:dyDescent="0.3">
      <c r="B10" s="77">
        <v>30</v>
      </c>
      <c r="C10" s="77">
        <v>0.2</v>
      </c>
      <c r="D10" s="72">
        <f t="shared" si="0"/>
        <v>6</v>
      </c>
      <c r="E10" s="72">
        <f t="shared" si="1"/>
        <v>20</v>
      </c>
    </row>
    <row r="11" spans="1:7" x14ac:dyDescent="0.3">
      <c r="B11" s="77">
        <v>40</v>
      </c>
      <c r="C11" s="77">
        <v>0.1</v>
      </c>
      <c r="D11" s="72">
        <f t="shared" si="0"/>
        <v>4</v>
      </c>
      <c r="E11" s="72">
        <f t="shared" si="1"/>
        <v>40</v>
      </c>
    </row>
    <row r="12" spans="1:7" x14ac:dyDescent="0.3">
      <c r="B12" s="77"/>
      <c r="C12" s="77"/>
    </row>
    <row r="13" spans="1:7" x14ac:dyDescent="0.3">
      <c r="B13" s="77"/>
      <c r="C13" s="77"/>
    </row>
    <row r="14" spans="1:7" ht="21" thickBot="1" x14ac:dyDescent="0.35">
      <c r="B14" s="76"/>
      <c r="C14" s="76"/>
      <c r="D14" s="73"/>
      <c r="E14" s="73"/>
      <c r="F14" s="73"/>
      <c r="G14" s="73"/>
    </row>
    <row r="16" spans="1:7" x14ac:dyDescent="0.3">
      <c r="B16" s="74" t="s">
        <v>130</v>
      </c>
      <c r="C16" s="78">
        <f>SUM(C8:C13)</f>
        <v>0.99999999999999989</v>
      </c>
      <c r="D16" s="78">
        <f>SUM(D8:D13)</f>
        <v>20</v>
      </c>
      <c r="E16" s="78">
        <f>SUM(E8:E13)</f>
        <v>100</v>
      </c>
      <c r="F16" s="78">
        <f>SQRT(E16)</f>
        <v>10</v>
      </c>
    </row>
    <row r="17" spans="3:6" x14ac:dyDescent="0.3">
      <c r="C17" s="75" t="s">
        <v>46</v>
      </c>
      <c r="D17" s="72" t="s">
        <v>47</v>
      </c>
      <c r="E17" s="72" t="s">
        <v>48</v>
      </c>
      <c r="F17" s="72" t="s">
        <v>49</v>
      </c>
    </row>
    <row r="18" spans="3:6" x14ac:dyDescent="0.3">
      <c r="C18" s="72" t="s">
        <v>124</v>
      </c>
    </row>
    <row r="19" spans="3:6" x14ac:dyDescent="0.3">
      <c r="C19" s="72" t="s">
        <v>126</v>
      </c>
    </row>
    <row r="20" spans="3:6" x14ac:dyDescent="0.3">
      <c r="C20" s="72" t="s">
        <v>131</v>
      </c>
    </row>
    <row r="21" spans="3:6" x14ac:dyDescent="0.3">
      <c r="C21" s="72" t="s">
        <v>132</v>
      </c>
    </row>
  </sheetData>
  <mergeCells count="4">
    <mergeCell ref="B4:C4"/>
    <mergeCell ref="B5:C5"/>
    <mergeCell ref="D4:E4"/>
    <mergeCell ref="D5:E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24" sqref="B24"/>
    </sheetView>
  </sheetViews>
  <sheetFormatPr defaultRowHeight="15" x14ac:dyDescent="0.2"/>
  <cols>
    <col min="2" max="2" width="30" customWidth="1"/>
    <col min="3" max="3" width="2.21875" style="20" customWidth="1"/>
    <col min="4" max="4" width="4" style="20" customWidth="1"/>
    <col min="5" max="5" width="1.88671875" style="20" customWidth="1"/>
    <col min="6" max="6" width="8.88671875" style="20"/>
  </cols>
  <sheetData>
    <row r="1" spans="1:6" x14ac:dyDescent="0.2">
      <c r="A1" s="66" t="s">
        <v>119</v>
      </c>
      <c r="B1" s="66"/>
      <c r="C1" s="70"/>
      <c r="D1" s="70"/>
      <c r="E1" s="70"/>
      <c r="F1" s="70"/>
    </row>
    <row r="5" spans="1:6" x14ac:dyDescent="0.2">
      <c r="A5" s="55">
        <v>500</v>
      </c>
      <c r="B5" s="69" t="s">
        <v>77</v>
      </c>
    </row>
    <row r="6" spans="1:6" x14ac:dyDescent="0.2">
      <c r="A6" s="55">
        <v>40</v>
      </c>
      <c r="B6" s="69" t="s">
        <v>115</v>
      </c>
    </row>
    <row r="7" spans="1:6" x14ac:dyDescent="0.2">
      <c r="A7" s="55">
        <f>A5-A6</f>
        <v>460</v>
      </c>
      <c r="B7" s="69" t="s">
        <v>116</v>
      </c>
    </row>
    <row r="8" spans="1:6" x14ac:dyDescent="0.2">
      <c r="A8" s="55">
        <v>6.3E-2</v>
      </c>
      <c r="B8" s="69" t="s">
        <v>117</v>
      </c>
      <c r="E8" s="43"/>
      <c r="F8" s="43" t="s">
        <v>120</v>
      </c>
    </row>
    <row r="9" spans="1:6" x14ac:dyDescent="0.2">
      <c r="A9" s="55">
        <v>0.93700000000000006</v>
      </c>
      <c r="B9" s="69" t="s">
        <v>118</v>
      </c>
      <c r="F9" s="43" t="s">
        <v>121</v>
      </c>
    </row>
    <row r="10" spans="1:6" x14ac:dyDescent="0.2">
      <c r="F10" s="43" t="s">
        <v>122</v>
      </c>
    </row>
    <row r="11" spans="1:6" x14ac:dyDescent="0.2">
      <c r="A11" s="317">
        <f>COMBIN(A5,A6)*A8^A6*A9^A7</f>
        <v>2.1130454034425351E-2</v>
      </c>
      <c r="B11" s="69" t="s">
        <v>123</v>
      </c>
      <c r="F11" s="43"/>
    </row>
    <row r="13" spans="1:6" x14ac:dyDescent="0.2">
      <c r="A13" s="20">
        <f>SUM(A8:A9)</f>
        <v>1</v>
      </c>
      <c r="B13" s="19" t="s">
        <v>153</v>
      </c>
    </row>
    <row r="15" spans="1:6" x14ac:dyDescent="0.2">
      <c r="A15" s="124">
        <f>A5*A8</f>
        <v>31.5</v>
      </c>
      <c r="B15" s="19" t="s">
        <v>340</v>
      </c>
      <c r="C15" s="106"/>
    </row>
    <row r="16" spans="1:6" x14ac:dyDescent="0.2">
      <c r="A16" s="124">
        <f>SQRT(A5*A8*A9)</f>
        <v>5.4328169488765221</v>
      </c>
      <c r="B16" s="19" t="s">
        <v>341</v>
      </c>
      <c r="C16" s="106"/>
    </row>
    <row r="18" spans="1:3" x14ac:dyDescent="0.2">
      <c r="A18" s="124">
        <f>(A6-A15)/A16</f>
        <v>1.564565874386354</v>
      </c>
      <c r="B18" s="19" t="s">
        <v>342</v>
      </c>
      <c r="C18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topLeftCell="A7" workbookViewId="0">
      <selection activeCell="D20" sqref="D20"/>
    </sheetView>
  </sheetViews>
  <sheetFormatPr defaultRowHeight="15" x14ac:dyDescent="0.2"/>
  <sheetData>
    <row r="2" spans="2:15" ht="15.75" x14ac:dyDescent="0.25">
      <c r="B2" s="1" t="s">
        <v>51</v>
      </c>
    </row>
    <row r="5" spans="2:15" ht="15.75" thickBot="1" x14ac:dyDescent="0.25"/>
    <row r="6" spans="2:15" x14ac:dyDescent="0.2">
      <c r="D6" s="25"/>
      <c r="E6" s="33"/>
      <c r="F6" s="26"/>
      <c r="G6" s="27"/>
      <c r="K6" s="50"/>
      <c r="L6" s="47"/>
      <c r="M6" s="26"/>
      <c r="N6" s="27"/>
    </row>
    <row r="7" spans="2:15" x14ac:dyDescent="0.2">
      <c r="D7" s="28"/>
      <c r="E7" s="34"/>
      <c r="F7" s="29"/>
      <c r="G7" s="30"/>
      <c r="K7" s="51"/>
      <c r="L7" s="48"/>
      <c r="M7" s="29"/>
      <c r="N7" s="30"/>
    </row>
    <row r="8" spans="2:15" x14ac:dyDescent="0.2">
      <c r="D8" s="28"/>
      <c r="E8" s="34"/>
      <c r="F8" s="29"/>
      <c r="G8" s="30"/>
      <c r="K8" s="51"/>
      <c r="L8" s="48"/>
      <c r="M8" s="29"/>
      <c r="N8" s="30"/>
    </row>
    <row r="9" spans="2:15" ht="15.75" thickBot="1" x14ac:dyDescent="0.25">
      <c r="C9" s="24"/>
      <c r="D9" s="31"/>
      <c r="E9" s="35"/>
      <c r="F9" s="24"/>
      <c r="G9" s="32"/>
      <c r="H9" s="24"/>
      <c r="J9" s="24"/>
      <c r="K9" s="52"/>
      <c r="L9" s="49"/>
      <c r="M9" s="24"/>
      <c r="N9" s="32"/>
      <c r="O9" s="24"/>
    </row>
    <row r="10" spans="2:15" x14ac:dyDescent="0.2">
      <c r="H10" t="s">
        <v>50</v>
      </c>
      <c r="O10" t="s">
        <v>50</v>
      </c>
    </row>
    <row r="13" spans="2:15" x14ac:dyDescent="0.2">
      <c r="K13" t="s">
        <v>63</v>
      </c>
    </row>
    <row r="16" spans="2:15" x14ac:dyDescent="0.2">
      <c r="K16">
        <v>100</v>
      </c>
      <c r="L16" s="19" t="s">
        <v>65</v>
      </c>
    </row>
    <row r="17" spans="4:12" x14ac:dyDescent="0.2">
      <c r="K17">
        <v>500</v>
      </c>
      <c r="L17" s="19" t="s">
        <v>64</v>
      </c>
    </row>
    <row r="19" spans="4:12" x14ac:dyDescent="0.2">
      <c r="D19">
        <f>(118-90)/(165-48)</f>
        <v>0.23931623931623933</v>
      </c>
      <c r="K19">
        <v>0.62</v>
      </c>
      <c r="L19" s="19" t="s">
        <v>66</v>
      </c>
    </row>
    <row r="21" spans="4:12" x14ac:dyDescent="0.2">
      <c r="K21">
        <f>K19*(K17-K16) + K16</f>
        <v>348</v>
      </c>
      <c r="L21" s="19" t="s">
        <v>67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40" zoomScaleNormal="140" workbookViewId="0">
      <selection activeCell="F3" sqref="F3"/>
    </sheetView>
  </sheetViews>
  <sheetFormatPr defaultRowHeight="15.75" x14ac:dyDescent="0.25"/>
  <cols>
    <col min="1" max="1" width="8.88671875" style="2"/>
    <col min="2" max="4" width="8.88671875" style="1"/>
    <col min="5" max="5" width="12.21875" style="2" customWidth="1"/>
    <col min="6" max="16384" width="8.88671875" style="1"/>
  </cols>
  <sheetData>
    <row r="1" spans="1:8" ht="16.5" thickBot="1" x14ac:dyDescent="0.3"/>
    <row r="2" spans="1:8" ht="19.5" thickBot="1" x14ac:dyDescent="0.3">
      <c r="A2" s="89">
        <v>38</v>
      </c>
      <c r="B2" s="90" t="s">
        <v>29</v>
      </c>
      <c r="C2" s="91" t="s">
        <v>55</v>
      </c>
      <c r="E2" s="92">
        <f>F2</f>
        <v>0.8</v>
      </c>
      <c r="F2" s="315">
        <v>0.8</v>
      </c>
      <c r="G2" s="3" t="s">
        <v>154</v>
      </c>
    </row>
    <row r="3" spans="1:8" ht="16.5" thickBot="1" x14ac:dyDescent="0.3">
      <c r="A3" s="93">
        <v>4</v>
      </c>
      <c r="B3" s="94" t="s">
        <v>30</v>
      </c>
      <c r="C3" s="13" t="s">
        <v>56</v>
      </c>
      <c r="E3" s="95" t="s">
        <v>54</v>
      </c>
      <c r="F3" s="316">
        <f>_xlfn.NORM.INV(F2,A2,A3)</f>
        <v>41.366484934291663</v>
      </c>
      <c r="G3" s="96" t="s">
        <v>36</v>
      </c>
    </row>
    <row r="4" spans="1:8" x14ac:dyDescent="0.25">
      <c r="A4" s="59">
        <v>1.83</v>
      </c>
      <c r="B4" s="60" t="s">
        <v>31</v>
      </c>
      <c r="E4" s="65" t="s">
        <v>62</v>
      </c>
    </row>
    <row r="5" spans="1:8" x14ac:dyDescent="0.25">
      <c r="A5" s="97">
        <v>-0.44</v>
      </c>
      <c r="B5" s="60" t="s">
        <v>32</v>
      </c>
      <c r="C5" s="1" t="s">
        <v>91</v>
      </c>
    </row>
    <row r="6" spans="1:8" x14ac:dyDescent="0.25">
      <c r="B6" s="60"/>
    </row>
    <row r="7" spans="1:8" x14ac:dyDescent="0.25">
      <c r="A7" s="98">
        <f>_xlfn.NORM.DIST(A4,A$2,A$3,TRUE)</f>
        <v>7.6564448589983449E-20</v>
      </c>
      <c r="B7" s="60" t="s">
        <v>85</v>
      </c>
    </row>
    <row r="8" spans="1:8" x14ac:dyDescent="0.25">
      <c r="A8" s="2">
        <f>1-A7</f>
        <v>1</v>
      </c>
      <c r="B8" s="60" t="s">
        <v>34</v>
      </c>
    </row>
    <row r="9" spans="1:8" x14ac:dyDescent="0.25">
      <c r="H9" s="1">
        <f>(1.96*24/0.5)^2</f>
        <v>8851.0463999999993</v>
      </c>
    </row>
    <row r="10" spans="1:8" x14ac:dyDescent="0.25">
      <c r="A10" s="2">
        <f>A7-A12</f>
        <v>7.6201703658642713E-20</v>
      </c>
      <c r="B10" s="60" t="s">
        <v>33</v>
      </c>
      <c r="E10" s="99" t="s">
        <v>92</v>
      </c>
    </row>
    <row r="12" spans="1:8" x14ac:dyDescent="0.25">
      <c r="A12" s="100">
        <f>_xlfn.NORM.DIST(A5,A$2,A$3,TRUE)</f>
        <v>3.6274493134073079E-22</v>
      </c>
      <c r="B12" s="60" t="s">
        <v>60</v>
      </c>
    </row>
    <row r="13" spans="1:8" x14ac:dyDescent="0.25">
      <c r="A13" s="2">
        <f>1-A12</f>
        <v>1</v>
      </c>
      <c r="B13" s="60" t="s">
        <v>35</v>
      </c>
    </row>
    <row r="16" spans="1:8" ht="16.5" thickBot="1" x14ac:dyDescent="0.3"/>
    <row r="17" spans="1:10" x14ac:dyDescent="0.25">
      <c r="A17" s="64">
        <f>_xlfn.NORM.INV(A18,A2,A3)</f>
        <v>32.379713758761461</v>
      </c>
      <c r="B17" s="90" t="s">
        <v>70</v>
      </c>
      <c r="C17" s="101"/>
      <c r="D17" s="101"/>
      <c r="E17" s="3"/>
      <c r="J17" s="1">
        <f>(2.33*4/0.5)^2</f>
        <v>347.44960000000003</v>
      </c>
    </row>
    <row r="18" spans="1:10" x14ac:dyDescent="0.25">
      <c r="A18" s="102">
        <v>0.08</v>
      </c>
      <c r="B18" s="103" t="s">
        <v>69</v>
      </c>
      <c r="C18" s="104"/>
      <c r="D18" s="104"/>
      <c r="E18" s="4"/>
    </row>
    <row r="19" spans="1:10" ht="16.5" thickBot="1" x14ac:dyDescent="0.3">
      <c r="A19" s="95">
        <f>1-A18</f>
        <v>0.92</v>
      </c>
      <c r="B19" s="94" t="s">
        <v>71</v>
      </c>
      <c r="C19" s="105"/>
      <c r="D19" s="105"/>
      <c r="E19" s="5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8" zoomScaleNormal="98" workbookViewId="0">
      <selection activeCell="A13" sqref="A13"/>
    </sheetView>
  </sheetViews>
  <sheetFormatPr defaultRowHeight="15" x14ac:dyDescent="0.2"/>
  <cols>
    <col min="1" max="1" width="11.33203125" style="20" customWidth="1"/>
    <col min="5" max="5" width="8.88671875" style="20"/>
    <col min="7" max="7" width="10.6640625" customWidth="1"/>
  </cols>
  <sheetData>
    <row r="1" spans="1:7" ht="15.75" thickBot="1" x14ac:dyDescent="0.25">
      <c r="A1" t="s">
        <v>107</v>
      </c>
      <c r="E1"/>
    </row>
    <row r="2" spans="1:7" x14ac:dyDescent="0.2">
      <c r="A2" s="56">
        <v>3.08</v>
      </c>
      <c r="B2" s="63" t="s">
        <v>29</v>
      </c>
      <c r="C2" s="62"/>
    </row>
    <row r="3" spans="1:7" ht="15.75" thickBot="1" x14ac:dyDescent="0.25">
      <c r="A3" s="57">
        <v>0.62</v>
      </c>
      <c r="B3" s="39" t="s">
        <v>59</v>
      </c>
      <c r="C3" s="62"/>
    </row>
    <row r="4" spans="1:7" x14ac:dyDescent="0.2">
      <c r="B4" s="19"/>
    </row>
    <row r="5" spans="1:7" x14ac:dyDescent="0.2">
      <c r="A5" s="55">
        <v>3.15</v>
      </c>
      <c r="B5" s="19" t="s">
        <v>57</v>
      </c>
      <c r="C5" t="s">
        <v>68</v>
      </c>
    </row>
    <row r="6" spans="1:7" x14ac:dyDescent="0.2">
      <c r="A6" s="55"/>
      <c r="B6" s="19" t="s">
        <v>58</v>
      </c>
      <c r="C6" t="s">
        <v>84</v>
      </c>
    </row>
    <row r="7" spans="1:7" ht="15.75" x14ac:dyDescent="0.25">
      <c r="A7" s="55">
        <v>15</v>
      </c>
      <c r="B7" s="58" t="s">
        <v>37</v>
      </c>
      <c r="E7" s="65" t="s">
        <v>110</v>
      </c>
    </row>
    <row r="8" spans="1:7" ht="16.5" thickBot="1" x14ac:dyDescent="0.3">
      <c r="B8" s="19"/>
      <c r="E8" s="65" t="s">
        <v>111</v>
      </c>
    </row>
    <row r="9" spans="1:7" ht="19.5" thickBot="1" x14ac:dyDescent="0.3">
      <c r="A9" s="64">
        <f>A3/SQRT(A7)</f>
        <v>0.16008331164323988</v>
      </c>
      <c r="B9" s="41" t="s">
        <v>38</v>
      </c>
      <c r="C9" s="27"/>
      <c r="E9" s="36">
        <f>F9</f>
        <v>0.59</v>
      </c>
      <c r="F9" s="54">
        <v>0.59</v>
      </c>
      <c r="G9" s="37" t="s">
        <v>52</v>
      </c>
    </row>
    <row r="10" spans="1:7" ht="15.75" thickBot="1" x14ac:dyDescent="0.25">
      <c r="A10" s="45" t="s">
        <v>108</v>
      </c>
      <c r="B10" s="44"/>
      <c r="C10" s="30"/>
      <c r="E10" s="40" t="s">
        <v>54</v>
      </c>
      <c r="F10" s="38">
        <f>_xlfn.NORM.INV(F9,A$2,A$9)</f>
        <v>3.1164261534084989</v>
      </c>
      <c r="G10" s="39" t="s">
        <v>53</v>
      </c>
    </row>
    <row r="11" spans="1:7" ht="15.75" thickBot="1" x14ac:dyDescent="0.25">
      <c r="A11" s="46" t="s">
        <v>109</v>
      </c>
      <c r="B11" s="42"/>
      <c r="C11" s="32"/>
      <c r="E11" s="43" t="s">
        <v>61</v>
      </c>
    </row>
    <row r="12" spans="1:7" x14ac:dyDescent="0.2">
      <c r="B12" s="19"/>
      <c r="E12" s="43"/>
    </row>
    <row r="13" spans="1:7" ht="15.75" x14ac:dyDescent="0.25">
      <c r="A13" s="22">
        <f>_xlfn.NORM.DIST(A5,A$2,A$9,TRUE)</f>
        <v>0.6690430640548588</v>
      </c>
      <c r="B13" s="60" t="s">
        <v>86</v>
      </c>
    </row>
    <row r="14" spans="1:7" ht="15.75" x14ac:dyDescent="0.25">
      <c r="A14" s="22">
        <f>1-A13</f>
        <v>0.3309569359451412</v>
      </c>
      <c r="B14" s="60" t="s">
        <v>87</v>
      </c>
    </row>
    <row r="15" spans="1:7" x14ac:dyDescent="0.2">
      <c r="A15" s="22"/>
      <c r="B15" s="19"/>
    </row>
    <row r="16" spans="1:7" ht="15.75" x14ac:dyDescent="0.25">
      <c r="A16" s="20">
        <f>A13-A18</f>
        <v>0.6690430640548588</v>
      </c>
      <c r="B16" s="60" t="s">
        <v>88</v>
      </c>
    </row>
    <row r="18" spans="1:2" ht="15.75" x14ac:dyDescent="0.25">
      <c r="A18" s="21">
        <f>_xlfn.NORM.DIST(A6,A$2,A$9,TRUE)</f>
        <v>8.5634294743341915E-83</v>
      </c>
      <c r="B18" s="60" t="s">
        <v>89</v>
      </c>
    </row>
    <row r="19" spans="1:2" ht="15.75" x14ac:dyDescent="0.25">
      <c r="A19" s="20">
        <f>1-A18</f>
        <v>1</v>
      </c>
      <c r="B19" s="60" t="s">
        <v>90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60" zoomScaleNormal="160" workbookViewId="0">
      <selection activeCell="H6" sqref="H6"/>
    </sheetView>
  </sheetViews>
  <sheetFormatPr defaultRowHeight="15" x14ac:dyDescent="0.2"/>
  <cols>
    <col min="1" max="1" width="9.44140625" bestFit="1" customWidth="1"/>
  </cols>
  <sheetData>
    <row r="1" spans="1:9" ht="15.75" thickBot="1" x14ac:dyDescent="0.25">
      <c r="A1" t="s">
        <v>107</v>
      </c>
    </row>
    <row r="2" spans="1:9" x14ac:dyDescent="0.2">
      <c r="A2" s="56">
        <v>28</v>
      </c>
      <c r="B2" s="63" t="s">
        <v>155</v>
      </c>
      <c r="C2" s="62"/>
      <c r="E2" s="20"/>
      <c r="G2">
        <f>A$5-1.81*(A$5*A$6/A$4)^0.5</f>
        <v>0.32526226860093183</v>
      </c>
      <c r="I2">
        <f>0.3239-1.96*SQRT(0.3239*0.6761/880)</f>
        <v>0.29298098305720105</v>
      </c>
    </row>
    <row r="3" spans="1:9" ht="15.75" thickBot="1" x14ac:dyDescent="0.25">
      <c r="A3" s="57">
        <f>A4-A2</f>
        <v>36</v>
      </c>
      <c r="B3" s="39" t="s">
        <v>156</v>
      </c>
      <c r="C3" s="62"/>
      <c r="E3" s="20"/>
      <c r="G3">
        <f>A$5+1.81*(A$5*A$6/A$4)^0.5</f>
        <v>0.54973773139906823</v>
      </c>
      <c r="I3">
        <f>0.3239+1.96*SQRT(0.3239*0.6761/880)</f>
        <v>0.35481901694279899</v>
      </c>
    </row>
    <row r="4" spans="1:9" x14ac:dyDescent="0.2">
      <c r="A4" s="55">
        <v>64</v>
      </c>
      <c r="B4" s="19" t="s">
        <v>77</v>
      </c>
      <c r="E4" s="20"/>
    </row>
    <row r="5" spans="1:9" x14ac:dyDescent="0.2">
      <c r="A5" s="107">
        <f>A2/A4</f>
        <v>0.4375</v>
      </c>
      <c r="B5" s="19" t="s">
        <v>157</v>
      </c>
      <c r="C5" t="s">
        <v>68</v>
      </c>
      <c r="E5" s="20"/>
    </row>
    <row r="6" spans="1:9" x14ac:dyDescent="0.2">
      <c r="A6" s="107">
        <f>1-A5</f>
        <v>0.5625</v>
      </c>
      <c r="B6" s="19" t="s">
        <v>158</v>
      </c>
      <c r="C6" t="s">
        <v>84</v>
      </c>
      <c r="E6" s="20"/>
    </row>
    <row r="7" spans="1:9" ht="15.75" x14ac:dyDescent="0.25">
      <c r="A7" s="55">
        <v>64</v>
      </c>
      <c r="B7" s="58" t="s">
        <v>37</v>
      </c>
      <c r="E7" s="65" t="s">
        <v>110</v>
      </c>
    </row>
    <row r="8" spans="1:9" ht="16.5" thickBot="1" x14ac:dyDescent="0.3">
      <c r="A8" s="20"/>
      <c r="B8" s="19"/>
      <c r="E8" s="65" t="s">
        <v>111</v>
      </c>
    </row>
    <row r="9" spans="1:9" ht="19.5" thickBot="1" x14ac:dyDescent="0.3">
      <c r="A9" s="64">
        <f>A3/SQRT(A7)</f>
        <v>4.5</v>
      </c>
      <c r="B9" s="41" t="s">
        <v>38</v>
      </c>
      <c r="C9" s="27"/>
      <c r="E9" s="36">
        <f>F9</f>
        <v>0.59</v>
      </c>
      <c r="F9" s="54">
        <v>0.59</v>
      </c>
      <c r="G9" s="37" t="s">
        <v>52</v>
      </c>
    </row>
    <row r="10" spans="1:9" ht="15.75" thickBot="1" x14ac:dyDescent="0.25">
      <c r="A10" s="45" t="s">
        <v>108</v>
      </c>
      <c r="B10" s="44"/>
      <c r="C10" s="30"/>
      <c r="E10" s="40" t="s">
        <v>54</v>
      </c>
      <c r="F10" s="38">
        <f>_xlfn.NORM.INV(F9,A$2,A$9)</f>
        <v>29.023952394885171</v>
      </c>
      <c r="G10" s="39" t="s">
        <v>53</v>
      </c>
    </row>
    <row r="11" spans="1:9" ht="15.75" thickBot="1" x14ac:dyDescent="0.25">
      <c r="A11" s="46" t="s">
        <v>109</v>
      </c>
      <c r="B11" s="42"/>
      <c r="C11" s="32"/>
      <c r="E11" s="43" t="s">
        <v>61</v>
      </c>
    </row>
    <row r="12" spans="1:9" x14ac:dyDescent="0.2">
      <c r="A12" s="20"/>
      <c r="B12" s="19"/>
      <c r="E12" s="43"/>
    </row>
    <row r="13" spans="1:9" ht="15.75" x14ac:dyDescent="0.25">
      <c r="A13" s="22">
        <f>_xlfn.NORM.DIST(A5,A$2,A$9,TRUE)</f>
        <v>4.5341803266952673E-10</v>
      </c>
      <c r="B13" s="60" t="s">
        <v>86</v>
      </c>
      <c r="E13" s="20"/>
    </row>
    <row r="14" spans="1:9" ht="15.75" x14ac:dyDescent="0.25">
      <c r="A14" s="20">
        <f>1-A13</f>
        <v>0.99999999954658192</v>
      </c>
      <c r="B14" s="60" t="s">
        <v>87</v>
      </c>
      <c r="E14" s="20"/>
    </row>
    <row r="15" spans="1:9" x14ac:dyDescent="0.2">
      <c r="A15" s="22"/>
      <c r="B15" s="19"/>
      <c r="E15" s="20"/>
    </row>
    <row r="16" spans="1:9" ht="15.75" x14ac:dyDescent="0.25">
      <c r="A16" s="20">
        <f>A13-A18</f>
        <v>-8.621915256482975E-11</v>
      </c>
      <c r="B16" s="60" t="s">
        <v>88</v>
      </c>
      <c r="E16" s="20"/>
    </row>
    <row r="17" spans="1:5" x14ac:dyDescent="0.2">
      <c r="A17" s="20"/>
      <c r="E17" s="20"/>
    </row>
    <row r="18" spans="1:5" ht="15.75" x14ac:dyDescent="0.25">
      <c r="A18" s="21">
        <f>_xlfn.NORM.DIST(A6,A$2,A$9,TRUE)</f>
        <v>5.3963718523435648E-10</v>
      </c>
      <c r="B18" s="60" t="s">
        <v>89</v>
      </c>
      <c r="E18" s="20"/>
    </row>
    <row r="19" spans="1:5" ht="15.75" x14ac:dyDescent="0.25">
      <c r="A19" s="20">
        <f>1-A18</f>
        <v>0.99999999946036278</v>
      </c>
      <c r="B19" s="60" t="s">
        <v>90</v>
      </c>
      <c r="E19" s="20"/>
    </row>
    <row r="20" spans="1:5" x14ac:dyDescent="0.2">
      <c r="A20" s="20"/>
      <c r="E20" s="20"/>
    </row>
    <row r="21" spans="1:5" x14ac:dyDescent="0.2">
      <c r="A21" s="20"/>
      <c r="E21" s="20"/>
    </row>
    <row r="22" spans="1:5" x14ac:dyDescent="0.2">
      <c r="A22" s="20"/>
      <c r="E22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30" zoomScaleNormal="130" workbookViewId="0">
      <selection activeCell="A13" sqref="A13"/>
    </sheetView>
  </sheetViews>
  <sheetFormatPr defaultRowHeight="15.75" x14ac:dyDescent="0.25"/>
  <cols>
    <col min="1" max="1" width="13.5546875" style="1" customWidth="1"/>
    <col min="2" max="2" width="12.77734375" style="1" customWidth="1"/>
    <col min="3" max="16384" width="8.88671875" style="1"/>
  </cols>
  <sheetData>
    <row r="1" spans="1:5" x14ac:dyDescent="0.25">
      <c r="A1" s="1" t="s">
        <v>106</v>
      </c>
    </row>
    <row r="3" spans="1:5" x14ac:dyDescent="0.25">
      <c r="A3" s="59">
        <v>4</v>
      </c>
      <c r="B3" s="60" t="s">
        <v>97</v>
      </c>
      <c r="C3" s="60" t="s">
        <v>98</v>
      </c>
    </row>
    <row r="4" spans="1:5" x14ac:dyDescent="0.25">
      <c r="A4" s="59">
        <v>0.5</v>
      </c>
      <c r="B4" s="60" t="s">
        <v>95</v>
      </c>
      <c r="C4" s="60" t="s">
        <v>96</v>
      </c>
    </row>
    <row r="5" spans="1:5" x14ac:dyDescent="0.25">
      <c r="A5" s="59">
        <v>0.98</v>
      </c>
      <c r="B5" s="60" t="s">
        <v>79</v>
      </c>
    </row>
    <row r="6" spans="1:5" x14ac:dyDescent="0.25">
      <c r="A6" s="2">
        <f>1-A5</f>
        <v>2.0000000000000018E-2</v>
      </c>
      <c r="B6" s="60" t="s">
        <v>101</v>
      </c>
      <c r="C6" s="60" t="s">
        <v>99</v>
      </c>
    </row>
    <row r="7" spans="1:5" x14ac:dyDescent="0.25">
      <c r="A7" s="2">
        <f xml:space="preserve"> A6/2</f>
        <v>1.0000000000000009E-2</v>
      </c>
      <c r="B7" s="60" t="s">
        <v>102</v>
      </c>
      <c r="C7" s="60" t="s">
        <v>81</v>
      </c>
    </row>
    <row r="8" spans="1:5" x14ac:dyDescent="0.25">
      <c r="A8" s="2"/>
      <c r="B8" s="60" t="s">
        <v>93</v>
      </c>
    </row>
    <row r="9" spans="1:5" ht="18.75" x14ac:dyDescent="0.35">
      <c r="A9" s="61">
        <f>_xlfn.NORM.INV(A7,0,1)</f>
        <v>-2.3263478740408408</v>
      </c>
      <c r="B9" s="60" t="s">
        <v>103</v>
      </c>
      <c r="C9" s="1" t="s">
        <v>104</v>
      </c>
    </row>
    <row r="10" spans="1:5" x14ac:dyDescent="0.25">
      <c r="B10" s="60" t="s">
        <v>93</v>
      </c>
    </row>
    <row r="11" spans="1:5" x14ac:dyDescent="0.25">
      <c r="A11" s="61">
        <f>(A9*A3/A4)^2</f>
        <v>346.3612435874777</v>
      </c>
      <c r="B11" s="60" t="s">
        <v>105</v>
      </c>
      <c r="E11" s="60" t="s">
        <v>100</v>
      </c>
    </row>
    <row r="13" spans="1:5" x14ac:dyDescent="0.25">
      <c r="A13" s="2">
        <f>ROUND(A11+0.5,0)</f>
        <v>347</v>
      </c>
      <c r="B13" s="6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Chapter_3</vt:lpstr>
      <vt:lpstr>Chapter_5_4_counting</vt:lpstr>
      <vt:lpstr>Chapter_6_1_discrete</vt:lpstr>
      <vt:lpstr>Binomial Distribution</vt:lpstr>
      <vt:lpstr>Continuous_uniform</vt:lpstr>
      <vt:lpstr>Chapter 7.1 and 7.2 normal</vt:lpstr>
      <vt:lpstr>Chapter_7_3_CLT_xbar</vt:lpstr>
      <vt:lpstr>chapter 7.4 CLT prop</vt:lpstr>
      <vt:lpstr>Chapter 8.1 Sample Size for Mu</vt:lpstr>
      <vt:lpstr>Chapter 8.2 CI(mu)</vt:lpstr>
      <vt:lpstr>Chapter 8.3 CI(p) and samsize</vt:lpstr>
      <vt:lpstr>Chapter 8.4 CI(sigma)</vt:lpstr>
      <vt:lpstr>Ch 9.3 HT mu</vt:lpstr>
      <vt:lpstr>Ch 9.4 HT p</vt:lpstr>
      <vt:lpstr>Ch10.3 CI(mu1-mu2)</vt:lpstr>
      <vt:lpstr>CH11.3 HT(mu1-mu2)</vt:lpstr>
      <vt:lpstr>Ch10.1 CI(mu1-mu2)</vt:lpstr>
      <vt:lpstr>CH11.1 HT(mu1-mu2)</vt:lpstr>
      <vt:lpstr>CH10.2 CI(p1-p2)</vt:lpstr>
      <vt:lpstr>CH11.2 HT(p1-p2)</vt:lpstr>
      <vt:lpstr>Correlation 4.1</vt:lpstr>
      <vt:lpstr>Regression</vt:lpstr>
      <vt:lpstr>Multinomial 12.1</vt:lpstr>
      <vt:lpstr>Contingency Tables 12.2</vt:lpstr>
      <vt:lpstr>Expected 12.2</vt:lpstr>
      <vt:lpstr>Test Stat 12.2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Larsen</dc:creator>
  <cp:lastModifiedBy>Lawrence Larsen</cp:lastModifiedBy>
  <dcterms:created xsi:type="dcterms:W3CDTF">2018-02-03T13:40:58Z</dcterms:created>
  <dcterms:modified xsi:type="dcterms:W3CDTF">2018-08-19T23:36:18Z</dcterms:modified>
</cp:coreProperties>
</file>